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WORKSPACE\AD-Web-DelDOT\Programs\transportation-improvement-districts\xls\"/>
    </mc:Choice>
  </mc:AlternateContent>
  <xr:revisionPtr revIDLastSave="0" documentId="8_{06127869-DB11-49EE-BDF4-250795C86863}" xr6:coauthVersionLast="47" xr6:coauthVersionMax="47" xr10:uidLastSave="{00000000-0000-0000-0000-000000000000}"/>
  <bookViews>
    <workbookView xWindow="-28920" yWindow="-120" windowWidth="29040" windowHeight="15840" xr2:uid="{7E76AFE2-3A79-4140-A1B1-0900A3148586}"/>
  </bookViews>
  <sheets>
    <sheet name="Fee Calculation Form" sheetId="1" r:id="rId1"/>
    <sheet name="ITE Land Use Code information" sheetId="3" r:id="rId2"/>
    <sheet name="ITE Land Use Code info 2" sheetId="6" r:id="rId3"/>
    <sheet name="Hotel and phasing information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4" i="1" l="1" a="1"/>
  <c r="I34" i="1" s="1"/>
  <c r="I20" i="1" a="1"/>
  <c r="I20" i="1" s="1"/>
  <c r="I33" i="1" a="1"/>
  <c r="I33" i="1" s="1"/>
  <c r="I19" i="1" a="1"/>
  <c r="I19" i="1" s="1"/>
  <c r="I32" i="1" a="1"/>
  <c r="I32" i="1" s="1"/>
  <c r="I18" i="1" a="1"/>
  <c r="I18" i="1" s="1"/>
  <c r="A2" i="6"/>
  <c r="H37" i="1" s="1" a="1"/>
  <c r="H37" i="1" s="1"/>
  <c r="A1" i="6"/>
  <c r="H36" i="1" s="1" a="1"/>
  <c r="H36" i="1" s="1"/>
  <c r="I36" i="1" s="1"/>
  <c r="C19" i="6"/>
  <c r="C18" i="6"/>
  <c r="C17" i="6"/>
  <c r="C16" i="6"/>
  <c r="C15" i="6"/>
  <c r="G7" i="6"/>
  <c r="F7" i="6"/>
  <c r="G6" i="6"/>
  <c r="F6" i="6"/>
  <c r="G5" i="6"/>
  <c r="F5" i="6"/>
  <c r="G4" i="6"/>
  <c r="F4" i="6"/>
  <c r="G3" i="6"/>
  <c r="F3" i="6"/>
  <c r="C15" i="3"/>
  <c r="C16" i="3"/>
  <c r="C17" i="3"/>
  <c r="C18" i="3"/>
  <c r="C19" i="3"/>
  <c r="G7" i="3"/>
  <c r="F7" i="3"/>
  <c r="G6" i="3"/>
  <c r="F6" i="3"/>
  <c r="G5" i="3"/>
  <c r="F5" i="3"/>
  <c r="G4" i="3"/>
  <c r="F4" i="3"/>
  <c r="G3" i="3"/>
  <c r="F3" i="3"/>
  <c r="A6" i="3"/>
  <c r="A5" i="3"/>
  <c r="A4" i="3"/>
  <c r="A3" i="3"/>
  <c r="A2" i="3"/>
  <c r="H25" i="1" s="1" a="1"/>
  <c r="H25" i="1" s="1"/>
  <c r="A1" i="3"/>
  <c r="H24" i="1" s="1" a="1"/>
  <c r="H24" i="1" s="1"/>
  <c r="D46" i="4"/>
  <c r="D45" i="4"/>
  <c r="D43" i="4"/>
  <c r="D42" i="4"/>
  <c r="D41" i="4"/>
  <c r="D40" i="4"/>
  <c r="D39" i="4"/>
  <c r="D38" i="4"/>
  <c r="D37" i="4"/>
  <c r="D34" i="4"/>
  <c r="D33" i="4"/>
  <c r="D32" i="4"/>
  <c r="D27" i="4"/>
  <c r="D25" i="4"/>
  <c r="D24" i="4"/>
  <c r="D23" i="4"/>
  <c r="D22" i="4"/>
  <c r="D18" i="4"/>
  <c r="D17" i="4"/>
  <c r="E11" i="4"/>
  <c r="E10" i="4"/>
  <c r="E9" i="4"/>
  <c r="E8" i="4"/>
  <c r="E7" i="4"/>
  <c r="E6" i="4"/>
  <c r="E5" i="4"/>
  <c r="E4" i="4"/>
  <c r="E3" i="4"/>
  <c r="F13" i="4" s="1"/>
  <c r="I37" i="1" l="1"/>
  <c r="F12" i="4"/>
  <c r="I38" i="1" l="1"/>
  <c r="D14" i="1" s="1"/>
  <c r="H29" i="1" a="1"/>
  <c r="H29" i="1" s="1"/>
  <c r="I29" i="1" s="1"/>
  <c r="H28" i="1" a="1"/>
  <c r="H28" i="1" s="1"/>
  <c r="I28" i="1" s="1"/>
  <c r="H27" i="1" a="1"/>
  <c r="H27" i="1" s="1"/>
  <c r="I27" i="1" s="1"/>
  <c r="H26" i="1" a="1"/>
  <c r="H26" i="1" s="1"/>
  <c r="I26" i="1" s="1"/>
  <c r="I25" i="1"/>
  <c r="I24" i="1"/>
  <c r="I30" i="1" l="1"/>
  <c r="I21" i="1"/>
  <c r="I39" i="1" l="1" a="1"/>
  <c r="I39" i="1" s="1"/>
  <c r="D15" i="1" s="1"/>
  <c r="D12" i="1"/>
  <c r="D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<sst xmlns="http://schemas.openxmlformats.org/spreadsheetml/2006/main" count="300" uniqueCount="161">
  <si>
    <t>Date:</t>
  </si>
  <si>
    <t>Name of development:</t>
  </si>
  <si>
    <t>Parcel Number(s):</t>
  </si>
  <si>
    <t>Property Owner:</t>
  </si>
  <si>
    <t>Property Address:</t>
  </si>
  <si>
    <t>Residential Fee Calculations:</t>
  </si>
  <si>
    <t>By phase</t>
  </si>
  <si>
    <t>By lot</t>
  </si>
  <si>
    <t>Residential subtotal</t>
  </si>
  <si>
    <t>Units</t>
  </si>
  <si>
    <t>Fee</t>
  </si>
  <si>
    <t>Non-Residential Fee Calculations:</t>
  </si>
  <si>
    <t>110 General Light Industrial</t>
  </si>
  <si>
    <t>ITE Land Use Codes</t>
  </si>
  <si>
    <t>130 Industrial Park</t>
  </si>
  <si>
    <t>140 Manufacturing</t>
  </si>
  <si>
    <t>150 Warehousing</t>
  </si>
  <si>
    <t>151 Mini-Warehouse (Self-Storage)</t>
  </si>
  <si>
    <t>154 High-Cube Transload and Short-Term Storage Warehouse</t>
  </si>
  <si>
    <t>155 High-Cube Fulfillment Center Warehouse</t>
  </si>
  <si>
    <t>156 High-Cube Parcel Hub Warehouse</t>
  </si>
  <si>
    <t>157 High-Cube Cold Storage Warehouse</t>
  </si>
  <si>
    <t>160 Data Center</t>
  </si>
  <si>
    <t>170 Utility</t>
  </si>
  <si>
    <t>180 Specialty Trade Contractor</t>
  </si>
  <si>
    <t>310 Hotel</t>
  </si>
  <si>
    <t>311 All Suites Hotel</t>
  </si>
  <si>
    <t>312 Business Hotel</t>
  </si>
  <si>
    <t>320 Motel</t>
  </si>
  <si>
    <t>330 Resort Hotel</t>
  </si>
  <si>
    <t>520 Elementary School</t>
  </si>
  <si>
    <t>522 Middle/Junior High School</t>
  </si>
  <si>
    <t>530 High School</t>
  </si>
  <si>
    <t>534 Private School (K-8)</t>
  </si>
  <si>
    <t>538 School District Office</t>
  </si>
  <si>
    <t>560 Church</t>
  </si>
  <si>
    <t>565 Day Care Center</t>
  </si>
  <si>
    <t>590 Library</t>
  </si>
  <si>
    <t>620 Nursing Home</t>
  </si>
  <si>
    <t>640 Animal Hospital/Veterinary Clinic</t>
  </si>
  <si>
    <t>710 General Office Building</t>
  </si>
  <si>
    <t>712 Small Office Building (&lt; 5,000 sf)</t>
  </si>
  <si>
    <t>714 Corporate Headquarters Building</t>
  </si>
  <si>
    <t>715 Single Tenant Office Building</t>
  </si>
  <si>
    <t>720 Medical-Dental Office Building</t>
  </si>
  <si>
    <t>730 Government Office Building</t>
  </si>
  <si>
    <t>732 United States Post Office</t>
  </si>
  <si>
    <t>750 Office Park</t>
  </si>
  <si>
    <t>760 Research and Development Center</t>
  </si>
  <si>
    <t>770 Business Park</t>
  </si>
  <si>
    <t>810 Tractor Supply Store</t>
  </si>
  <si>
    <t>812 Building Materials and Lumber Store</t>
  </si>
  <si>
    <t>813 Free-Standing Discount Superstore</t>
  </si>
  <si>
    <t>814 Variety Store</t>
  </si>
  <si>
    <t>815 Free-Standing Discount Store</t>
  </si>
  <si>
    <t>817 Nursery (Garden Center)</t>
  </si>
  <si>
    <t>823 Factory Outlet Center</t>
  </si>
  <si>
    <t>840 Automobile Sales (New)</t>
  </si>
  <si>
    <t>841 Automobile Sales (Used)</t>
  </si>
  <si>
    <t>843 Automobile Parts Sales</t>
  </si>
  <si>
    <t>848 Tire Store</t>
  </si>
  <si>
    <t>849 Tire Superstore</t>
  </si>
  <si>
    <t>851 Convenience Market</t>
  </si>
  <si>
    <t>853 Convenience Market with Gasoline Pumps</t>
  </si>
  <si>
    <t>854 Discount Supermarket</t>
  </si>
  <si>
    <t>857 Discount Club</t>
  </si>
  <si>
    <t>862 Home Improvement Superstore</t>
  </si>
  <si>
    <t>868 Book Superstore</t>
  </si>
  <si>
    <t>869 Discount Home Furnishing Superstore</t>
  </si>
  <si>
    <t>880 Pharmacy/Drugstore without Drive-Through Window</t>
  </si>
  <si>
    <t>881 Pharmacy/Drugstore with Drive-Through Window</t>
  </si>
  <si>
    <t>890 Furniture Store</t>
  </si>
  <si>
    <t>912 Drive-In Bank</t>
  </si>
  <si>
    <t>931 Quality Restaurant</t>
  </si>
  <si>
    <t>932 High-Turnover (Sit-Down Restaurant)</t>
  </si>
  <si>
    <t>934 Fast-Food Restaurant with Drive-Through Window</t>
  </si>
  <si>
    <t>941 Quick Lubrication Vehicle Shop</t>
  </si>
  <si>
    <t>942 Automobile Care Center</t>
  </si>
  <si>
    <t>943 Automobile Parts and Service Center</t>
  </si>
  <si>
    <t>944 Gasoline/Service Station</t>
  </si>
  <si>
    <t>960 Super Convenience Market/Gas Station</t>
  </si>
  <si>
    <t>Column1</t>
  </si>
  <si>
    <t>Enter building gross floor area in square ft:</t>
  </si>
  <si>
    <t>Fee per square foot</t>
  </si>
  <si>
    <t>Trips per 1,000 sq ft</t>
  </si>
  <si>
    <t>Column2</t>
  </si>
  <si>
    <t>Fee rate</t>
  </si>
  <si>
    <t>Column3</t>
  </si>
  <si>
    <t>Non-Residential subtotal</t>
  </si>
  <si>
    <t>Total Fee Owed</t>
  </si>
  <si>
    <t>Signature:</t>
  </si>
  <si>
    <t>Residential Fee Subtotal:</t>
  </si>
  <si>
    <t>Non-residential Fee Subtotal:</t>
  </si>
  <si>
    <t>Total Fee Owed:</t>
  </si>
  <si>
    <t>Development Address:</t>
  </si>
  <si>
    <t>Building Permit                     Number(s):</t>
  </si>
  <si>
    <t>Contact name of person submitting payment:</t>
  </si>
  <si>
    <t>Enter number of Single Family Detached units (ITE Land Use Codes 210, 265)</t>
  </si>
  <si>
    <t>125 rooms</t>
  </si>
  <si>
    <t xml:space="preserve">Enter number of Multi Family Mid Rise units (3 or 4 floors) (ITE Land Use Codes 221, 240, 251, 252, 253, 254, 255, 260) </t>
  </si>
  <si>
    <t>Enter number of Multi Family Low Rise units (1 or 2 floors) (ITE Land Use Code 220)</t>
  </si>
  <si>
    <t>20 rooms</t>
  </si>
  <si>
    <t>rooms</t>
  </si>
  <si>
    <t>square footage</t>
  </si>
  <si>
    <t>104 rooms</t>
  </si>
  <si>
    <t>Colonial Oaks, 311, all suites hotel</t>
  </si>
  <si>
    <t>Lewes Hotel, LLC, 311, all suites</t>
  </si>
  <si>
    <t>105 rooms</t>
  </si>
  <si>
    <t>80 rooms</t>
  </si>
  <si>
    <t>Millsboro Hotel, 310 hotel</t>
  </si>
  <si>
    <t>Sussex</t>
  </si>
  <si>
    <t>NCC</t>
  </si>
  <si>
    <t>101 rooms</t>
  </si>
  <si>
    <t>400 Ogletown Rd, 311</t>
  </si>
  <si>
    <t>Candlewood Suites, 311</t>
  </si>
  <si>
    <t>128 rooms</t>
  </si>
  <si>
    <t>98 rooms</t>
  </si>
  <si>
    <t>SSN Hotel, 311 all suites</t>
  </si>
  <si>
    <t>133 rooms</t>
  </si>
  <si>
    <t>Delaware Park Homewood Suites, 311</t>
  </si>
  <si>
    <t>Peach Tree Inn, 312 Business Hotel</t>
  </si>
  <si>
    <t>New Castle Ave Hotel, 312 Business Hotel</t>
  </si>
  <si>
    <t>Trips per room</t>
  </si>
  <si>
    <t>Column4</t>
  </si>
  <si>
    <t>311 average</t>
  </si>
  <si>
    <t>312 average</t>
  </si>
  <si>
    <t>phase</t>
  </si>
  <si>
    <t>subdivision name, lots</t>
  </si>
  <si>
    <t>Coastal Club, 630</t>
  </si>
  <si>
    <t>The Retreat, 161</t>
  </si>
  <si>
    <t>Lewes Crossing, Phase 8</t>
  </si>
  <si>
    <t>Lewes Crossing, 192</t>
  </si>
  <si>
    <t>1-7</t>
  </si>
  <si>
    <t>Harts Landing, 144</t>
  </si>
  <si>
    <t>Spring Oaks, 246</t>
  </si>
  <si>
    <t>Coastal Club</t>
  </si>
  <si>
    <t>The Retreat</t>
  </si>
  <si>
    <t>Harts Landing</t>
  </si>
  <si>
    <t>Spring Oaks</t>
  </si>
  <si>
    <t>Ponds of Odessa</t>
  </si>
  <si>
    <t>Ponds of Odessa, 280</t>
  </si>
  <si>
    <t>Farmington</t>
  </si>
  <si>
    <t>Farmington, 203</t>
  </si>
  <si>
    <t>Select ITE Land Use Codes:</t>
  </si>
  <si>
    <t>600 sq ft per room</t>
  </si>
  <si>
    <t>Hotel Information</t>
  </si>
  <si>
    <t>number of hotel</t>
  </si>
  <si>
    <t>sq ft</t>
  </si>
  <si>
    <t>per room</t>
  </si>
  <si>
    <t>used</t>
  </si>
  <si>
    <t>Subdivision lot phasing information</t>
  </si>
  <si>
    <t>number of lots</t>
  </si>
  <si>
    <t>Payment information: Please make checks payable to Sussex County Government, PO Box 601, Georgetown, DE 19947. Note: Please provide the Tax Parcel ID(s) when making payment to ensure payment is applied to the proper account.</t>
  </si>
  <si>
    <t>Form instructions: Please complete BOLDED cells only and submit along with payment to Sussex County Planning and Zoning Department.  Please send copy of form only to Sarah Coakley, DelDOT Planning, Sarah.Coakley@delaware.gov or P.O. Box 778, Dover, DE 19903.</t>
  </si>
  <si>
    <t>820 Shopping Center (an integrated group of commercial establishments that is planned,
developed, owned, and managed as a unit; except that freestanding convenience stores and fast-food establishments shall be excluded)</t>
  </si>
  <si>
    <t>Select ITE Land Use Codes for existing non-residential GFA of buildings:</t>
  </si>
  <si>
    <t>842 RV Sales</t>
  </si>
  <si>
    <t>Credit for existing buildings</t>
  </si>
  <si>
    <t>Credit for existing buildings:</t>
  </si>
  <si>
    <t>For redevelopment projects only, enter existing building information:</t>
  </si>
  <si>
    <t>Henlopen TID Fee Calculation and Submittal Form for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</si>
</sst>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  <numFmt numFmtId="166" formatCode="&quot;$&quot;#,##0.00"/>
    <numFmt numFmtId="167" formatCode="m/d/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rgb="FF3F3F3F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rgb="FF3F3F76"/>
      <name val="Calibri"/>
      <family val="2"/>
      <scheme val="minor"/>
    </font>
    <font>
      <b/>
      <sz val="14"/>
      <color rgb="FFFA7D00"/>
      <name val="Calibri"/>
      <family val="2"/>
      <scheme val="minor"/>
    </font>
    <font>
      <b/>
      <sz val="14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3F3F76"/>
      <name val="Calibri"/>
      <family val="2"/>
      <scheme val="minor"/>
    </font>
    <font>
      <u/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5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/>
      <right/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rgb="FF7F7F7F"/>
      </bottom>
      <diagonal/>
    </border>
    <border>
      <left style="thick">
        <color auto="1"/>
      </left>
      <right style="thick">
        <color auto="1"/>
      </right>
      <top style="thin">
        <color rgb="FF7F7F7F"/>
      </top>
      <bottom style="thin">
        <color rgb="FF7F7F7F"/>
      </bottom>
      <diagonal/>
    </border>
    <border>
      <left style="thick">
        <color auto="1"/>
      </left>
      <right style="thick">
        <color auto="1"/>
      </right>
      <top style="thin">
        <color rgb="FF7F7F7F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rgb="FF7F7F7F"/>
      </bottom>
      <diagonal/>
    </border>
    <border>
      <left/>
      <right/>
      <top style="thick">
        <color auto="1"/>
      </top>
      <bottom style="thin">
        <color rgb="FF7F7F7F"/>
      </bottom>
      <diagonal/>
    </border>
    <border>
      <left/>
      <right style="thick">
        <color auto="1"/>
      </right>
      <top style="thick">
        <color auto="1"/>
      </top>
      <bottom style="thin">
        <color rgb="FF7F7F7F"/>
      </bottom>
      <diagonal/>
    </border>
    <border>
      <left style="thick">
        <color auto="1"/>
      </left>
      <right/>
      <top style="thin">
        <color rgb="FF7F7F7F"/>
      </top>
      <bottom style="thin">
        <color rgb="FF7F7F7F"/>
      </bottom>
      <diagonal/>
    </border>
    <border>
      <left/>
      <right style="thick">
        <color auto="1"/>
      </right>
      <top style="thin">
        <color rgb="FF7F7F7F"/>
      </top>
      <bottom style="thin">
        <color rgb="FF7F7F7F"/>
      </bottom>
      <diagonal/>
    </border>
    <border>
      <left style="thick">
        <color auto="1"/>
      </left>
      <right/>
      <top style="thin">
        <color rgb="FF7F7F7F"/>
      </top>
      <bottom style="thick">
        <color auto="1"/>
      </bottom>
      <diagonal/>
    </border>
    <border>
      <left/>
      <right/>
      <top style="thin">
        <color rgb="FF7F7F7F"/>
      </top>
      <bottom style="thick">
        <color auto="1"/>
      </bottom>
      <diagonal/>
    </border>
    <border>
      <left/>
      <right style="thick">
        <color auto="1"/>
      </right>
      <top style="thin">
        <color rgb="FF7F7F7F"/>
      </top>
      <bottom style="thick">
        <color auto="1"/>
      </bottom>
      <diagonal/>
    </border>
    <border>
      <left style="thick">
        <color auto="1"/>
      </left>
      <right style="thin">
        <color rgb="FF7F7F7F"/>
      </right>
      <top style="thick">
        <color auto="1"/>
      </top>
      <bottom style="thin">
        <color rgb="FF7F7F7F"/>
      </bottom>
      <diagonal/>
    </border>
    <border>
      <left style="thin">
        <color rgb="FF7F7F7F"/>
      </left>
      <right style="thick">
        <color auto="1"/>
      </right>
      <top style="thick">
        <color auto="1"/>
      </top>
      <bottom style="thin">
        <color rgb="FF7F7F7F"/>
      </bottom>
      <diagonal/>
    </border>
    <border>
      <left style="thick">
        <color auto="1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ck">
        <color auto="1"/>
      </right>
      <top style="thin">
        <color rgb="FF7F7F7F"/>
      </top>
      <bottom style="thin">
        <color rgb="FF7F7F7F"/>
      </bottom>
      <diagonal/>
    </border>
    <border>
      <left style="thick">
        <color auto="1"/>
      </left>
      <right style="thin">
        <color rgb="FF7F7F7F"/>
      </right>
      <top style="thin">
        <color rgb="FF7F7F7F"/>
      </top>
      <bottom style="thick">
        <color auto="1"/>
      </bottom>
      <diagonal/>
    </border>
    <border>
      <left style="thin">
        <color rgb="FF7F7F7F"/>
      </left>
      <right style="thick">
        <color auto="1"/>
      </right>
      <top style="thin">
        <color rgb="FF7F7F7F"/>
      </top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ck">
        <color auto="1"/>
      </left>
      <right style="thin">
        <color rgb="FF3F3F3F"/>
      </right>
      <top style="thin">
        <color rgb="FF7F7F7F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rgb="FF3F3F3F"/>
      </top>
      <bottom style="thin">
        <color auto="1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4" fillId="3" borderId="1" applyNumberFormat="0" applyAlignment="0" applyProtection="0"/>
    <xf numFmtId="43" fontId="1" fillId="0" borderId="0" applyFont="0" applyFill="0" applyBorder="0" applyAlignment="0" applyProtection="0"/>
  </cellStyleXfs>
  <cellXfs count="150">
    <xf numFmtId="0" fontId="0" fillId="0" borderId="0" xfId="0"/>
    <xf numFmtId="0" fontId="5" fillId="0" borderId="0" xfId="0" applyFont="1"/>
    <xf numFmtId="0" fontId="5" fillId="0" borderId="0" xfId="0" applyFont="1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2" fontId="0" fillId="0" borderId="0" xfId="0" applyNumberFormat="1" applyAlignment="1">
      <alignment horizontal="center"/>
    </xf>
    <xf numFmtId="164" fontId="10" fillId="3" borderId="9" xfId="1" applyNumberFormat="1" applyFont="1" applyFill="1" applyBorder="1"/>
    <xf numFmtId="164" fontId="10" fillId="3" borderId="10" xfId="4" applyNumberFormat="1" applyFont="1" applyBorder="1"/>
    <xf numFmtId="164" fontId="11" fillId="3" borderId="11" xfId="3" applyNumberFormat="1" applyFont="1" applyBorder="1" applyProtection="1"/>
    <xf numFmtId="164" fontId="10" fillId="3" borderId="5" xfId="4" applyNumberFormat="1" applyFont="1" applyBorder="1"/>
    <xf numFmtId="164" fontId="10" fillId="3" borderId="1" xfId="4" applyNumberFormat="1" applyFont="1"/>
    <xf numFmtId="164" fontId="11" fillId="3" borderId="2" xfId="3" applyNumberFormat="1" applyFont="1" applyProtection="1"/>
    <xf numFmtId="164" fontId="10" fillId="3" borderId="17" xfId="4" applyNumberFormat="1" applyFont="1" applyBorder="1"/>
    <xf numFmtId="164" fontId="10" fillId="3" borderId="18" xfId="4" applyNumberFormat="1" applyFont="1" applyBorder="1"/>
    <xf numFmtId="164" fontId="11" fillId="3" borderId="15" xfId="3" applyNumberFormat="1" applyFont="1" applyBorder="1" applyProtection="1"/>
    <xf numFmtId="0" fontId="10" fillId="3" borderId="9" xfId="4" applyFont="1" applyBorder="1"/>
    <xf numFmtId="166" fontId="11" fillId="3" borderId="11" xfId="1" applyNumberFormat="1" applyFont="1" applyFill="1" applyBorder="1"/>
    <xf numFmtId="0" fontId="10" fillId="3" borderId="5" xfId="4" applyFont="1" applyBorder="1"/>
    <xf numFmtId="166" fontId="11" fillId="3" borderId="2" xfId="1" applyNumberFormat="1" applyFont="1" applyFill="1" applyBorder="1"/>
    <xf numFmtId="166" fontId="11" fillId="3" borderId="15" xfId="1" applyNumberFormat="1" applyFont="1" applyFill="1" applyBorder="1"/>
    <xf numFmtId="0" fontId="5" fillId="0" borderId="46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 wrapText="1"/>
    </xf>
    <xf numFmtId="0" fontId="9" fillId="0" borderId="20" xfId="2" applyFont="1" applyFill="1" applyBorder="1" applyProtection="1">
      <protection locked="0"/>
    </xf>
    <xf numFmtId="0" fontId="9" fillId="0" borderId="21" xfId="2" applyFont="1" applyFill="1" applyBorder="1" applyProtection="1">
      <protection locked="0"/>
    </xf>
    <xf numFmtId="0" fontId="9" fillId="0" borderId="22" xfId="2" applyFont="1" applyFill="1" applyBorder="1" applyProtection="1">
      <protection locked="0"/>
    </xf>
    <xf numFmtId="0" fontId="0" fillId="0" borderId="47" xfId="0" applyFont="1" applyBorder="1" applyAlignment="1">
      <alignment horizontal="left"/>
    </xf>
    <xf numFmtId="2" fontId="0" fillId="0" borderId="48" xfId="0" applyNumberFormat="1" applyFont="1" applyBorder="1" applyAlignment="1">
      <alignment horizontal="left"/>
    </xf>
    <xf numFmtId="8" fontId="0" fillId="0" borderId="49" xfId="0" applyNumberFormat="1" applyFont="1" applyBorder="1" applyAlignment="1">
      <alignment horizontal="left"/>
    </xf>
    <xf numFmtId="0" fontId="0" fillId="4" borderId="47" xfId="0" applyFont="1" applyFill="1" applyBorder="1" applyAlignment="1">
      <alignment horizontal="left"/>
    </xf>
    <xf numFmtId="2" fontId="0" fillId="4" borderId="48" xfId="0" applyNumberFormat="1" applyFont="1" applyFill="1" applyBorder="1" applyAlignment="1">
      <alignment horizontal="left"/>
    </xf>
    <xf numFmtId="0" fontId="12" fillId="5" borderId="47" xfId="0" applyFont="1" applyFill="1" applyBorder="1" applyAlignment="1">
      <alignment horizontal="left"/>
    </xf>
    <xf numFmtId="0" fontId="12" fillId="5" borderId="48" xfId="0" applyFont="1" applyFill="1" applyBorder="1" applyAlignment="1">
      <alignment horizontal="left"/>
    </xf>
    <xf numFmtId="0" fontId="12" fillId="5" borderId="49" xfId="0" applyFont="1" applyFill="1" applyBorder="1" applyAlignment="1">
      <alignment horizontal="left"/>
    </xf>
    <xf numFmtId="0" fontId="0" fillId="4" borderId="48" xfId="0" applyFont="1" applyFill="1" applyBorder="1" applyAlignment="1">
      <alignment horizontal="left"/>
    </xf>
    <xf numFmtId="0" fontId="0" fillId="4" borderId="49" xfId="0" applyFont="1" applyFill="1" applyBorder="1" applyAlignment="1">
      <alignment horizontal="left"/>
    </xf>
    <xf numFmtId="164" fontId="11" fillId="3" borderId="18" xfId="3" applyNumberFormat="1" applyFont="1" applyBorder="1" applyAlignment="1">
      <alignment horizontal="right" vertical="center"/>
    </xf>
    <xf numFmtId="166" fontId="11" fillId="3" borderId="3" xfId="3" applyNumberFormat="1" applyFont="1" applyBorder="1" applyAlignment="1">
      <alignment vertical="center"/>
    </xf>
    <xf numFmtId="1" fontId="0" fillId="0" borderId="0" xfId="0" applyNumberFormat="1"/>
    <xf numFmtId="0" fontId="0" fillId="0" borderId="0" xfId="5" applyNumberFormat="1" applyFont="1"/>
    <xf numFmtId="14" fontId="0" fillId="0" borderId="0" xfId="0" applyNumberFormat="1"/>
    <xf numFmtId="167" fontId="0" fillId="0" borderId="0" xfId="0" applyNumberFormat="1"/>
    <xf numFmtId="49" fontId="0" fillId="0" borderId="0" xfId="0" applyNumberFormat="1"/>
    <xf numFmtId="0" fontId="5" fillId="0" borderId="41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Alignment="1"/>
    <xf numFmtId="2" fontId="0" fillId="0" borderId="48" xfId="0" applyNumberFormat="1" applyFont="1" applyBorder="1" applyAlignment="1">
      <alignment horizontal="center"/>
    </xf>
    <xf numFmtId="2" fontId="0" fillId="4" borderId="48" xfId="0" applyNumberFormat="1" applyFont="1" applyFill="1" applyBorder="1" applyAlignment="1">
      <alignment horizontal="center"/>
    </xf>
    <xf numFmtId="8" fontId="0" fillId="0" borderId="0" xfId="0" applyNumberFormat="1" applyAlignment="1">
      <alignment horizontal="center"/>
    </xf>
    <xf numFmtId="8" fontId="0" fillId="4" borderId="49" xfId="0" applyNumberFormat="1" applyFont="1" applyFill="1" applyBorder="1" applyAlignment="1">
      <alignment horizontal="center"/>
    </xf>
    <xf numFmtId="0" fontId="10" fillId="3" borderId="50" xfId="4" applyFont="1" applyBorder="1"/>
    <xf numFmtId="0" fontId="0" fillId="0" borderId="0" xfId="0" applyAlignment="1">
      <alignment horizontal="left" wrapText="1"/>
    </xf>
    <xf numFmtId="0" fontId="5" fillId="0" borderId="38" xfId="0" applyFont="1" applyBorder="1" applyAlignment="1">
      <alignment horizontal="right" vertical="center"/>
    </xf>
    <xf numFmtId="0" fontId="5" fillId="0" borderId="39" xfId="0" applyFont="1" applyBorder="1" applyAlignment="1">
      <alignment horizontal="right" vertical="center"/>
    </xf>
    <xf numFmtId="0" fontId="0" fillId="0" borderId="38" xfId="0" applyBorder="1" applyAlignment="1">
      <alignment horizontal="center" vertical="center" wrapText="1"/>
    </xf>
    <xf numFmtId="164" fontId="3" fillId="3" borderId="2" xfId="3" applyNumberFormat="1" applyAlignment="1">
      <alignment horizontal="right" vertical="center"/>
    </xf>
    <xf numFmtId="0" fontId="5" fillId="0" borderId="3" xfId="0" applyFont="1" applyBorder="1" applyAlignment="1">
      <alignment horizontal="right" vertical="center" wrapText="1"/>
    </xf>
    <xf numFmtId="0" fontId="0" fillId="0" borderId="57" xfId="0" applyBorder="1"/>
    <xf numFmtId="0" fontId="5" fillId="0" borderId="6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8" fillId="0" borderId="6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166" fontId="7" fillId="3" borderId="2" xfId="3" applyNumberFormat="1" applyFont="1" applyAlignment="1" applyProtection="1">
      <alignment horizontal="center" vertical="center"/>
    </xf>
    <xf numFmtId="0" fontId="7" fillId="3" borderId="2" xfId="3" applyFont="1" applyAlignment="1" applyProtection="1">
      <alignment horizontal="center" vertical="center"/>
    </xf>
    <xf numFmtId="165" fontId="9" fillId="0" borderId="33" xfId="5" applyNumberFormat="1" applyFont="1" applyFill="1" applyBorder="1" applyAlignment="1" applyProtection="1">
      <protection locked="0"/>
    </xf>
    <xf numFmtId="165" fontId="9" fillId="0" borderId="34" xfId="5" applyNumberFormat="1" applyFont="1" applyFill="1" applyBorder="1" applyAlignment="1" applyProtection="1">
      <protection locked="0"/>
    </xf>
    <xf numFmtId="165" fontId="9" fillId="0" borderId="35" xfId="5" applyNumberFormat="1" applyFont="1" applyFill="1" applyBorder="1" applyAlignment="1" applyProtection="1">
      <protection locked="0"/>
    </xf>
    <xf numFmtId="165" fontId="9" fillId="0" borderId="36" xfId="5" applyNumberFormat="1" applyFont="1" applyFill="1" applyBorder="1" applyAlignment="1" applyProtection="1">
      <protection locked="0"/>
    </xf>
    <xf numFmtId="0" fontId="14" fillId="0" borderId="26" xfId="2" applyFont="1" applyFill="1" applyBorder="1" applyAlignment="1" applyProtection="1">
      <alignment wrapText="1"/>
      <protection locked="0"/>
    </xf>
    <xf numFmtId="0" fontId="13" fillId="0" borderId="14" xfId="0" applyFont="1" applyFill="1" applyBorder="1" applyAlignment="1" applyProtection="1">
      <protection locked="0"/>
    </xf>
    <xf numFmtId="0" fontId="13" fillId="0" borderId="27" xfId="0" applyFont="1" applyFill="1" applyBorder="1" applyAlignment="1" applyProtection="1">
      <protection locked="0"/>
    </xf>
    <xf numFmtId="0" fontId="14" fillId="0" borderId="28" xfId="2" applyFont="1" applyFill="1" applyBorder="1" applyAlignment="1" applyProtection="1">
      <alignment wrapText="1"/>
      <protection locked="0"/>
    </xf>
    <xf numFmtId="0" fontId="13" fillId="0" borderId="29" xfId="0" applyFont="1" applyFill="1" applyBorder="1" applyAlignment="1" applyProtection="1">
      <protection locked="0"/>
    </xf>
    <xf numFmtId="0" fontId="13" fillId="0" borderId="30" xfId="0" applyFont="1" applyFill="1" applyBorder="1" applyAlignment="1" applyProtection="1">
      <protection locked="0"/>
    </xf>
    <xf numFmtId="0" fontId="5" fillId="0" borderId="37" xfId="0" applyFont="1" applyBorder="1" applyAlignment="1">
      <alignment horizontal="right" vertical="center"/>
    </xf>
    <xf numFmtId="0" fontId="5" fillId="0" borderId="38" xfId="0" applyFont="1" applyBorder="1" applyAlignment="1">
      <alignment horizontal="right" vertical="center"/>
    </xf>
    <xf numFmtId="0" fontId="5" fillId="0" borderId="39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5" fillId="0" borderId="6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16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14" fillId="0" borderId="23" xfId="2" applyFont="1" applyFill="1" applyBorder="1" applyAlignment="1" applyProtection="1">
      <alignment wrapText="1"/>
      <protection locked="0"/>
    </xf>
    <xf numFmtId="0" fontId="14" fillId="0" borderId="24" xfId="2" applyFont="1" applyFill="1" applyBorder="1" applyAlignment="1" applyProtection="1">
      <alignment wrapText="1"/>
      <protection locked="0"/>
    </xf>
    <xf numFmtId="0" fontId="14" fillId="0" borderId="25" xfId="2" applyFont="1" applyFill="1" applyBorder="1" applyAlignment="1" applyProtection="1">
      <alignment wrapText="1"/>
      <protection locked="0"/>
    </xf>
    <xf numFmtId="0" fontId="5" fillId="0" borderId="54" xfId="0" applyFont="1" applyBorder="1" applyAlignment="1">
      <alignment wrapText="1"/>
    </xf>
    <xf numFmtId="0" fontId="0" fillId="0" borderId="54" xfId="0" applyBorder="1" applyAlignment="1">
      <alignment wrapText="1"/>
    </xf>
    <xf numFmtId="0" fontId="0" fillId="0" borderId="55" xfId="0" applyBorder="1" applyAlignment="1">
      <alignment wrapText="1"/>
    </xf>
    <xf numFmtId="0" fontId="13" fillId="0" borderId="24" xfId="0" applyFont="1" applyFill="1" applyBorder="1" applyAlignment="1" applyProtection="1">
      <protection locked="0"/>
    </xf>
    <xf numFmtId="0" fontId="13" fillId="0" borderId="25" xfId="0" applyFont="1" applyFill="1" applyBorder="1" applyAlignment="1" applyProtection="1">
      <protection locked="0"/>
    </xf>
    <xf numFmtId="0" fontId="16" fillId="0" borderId="56" xfId="2" applyFont="1" applyFill="1" applyBorder="1" applyAlignment="1" applyProtection="1">
      <alignment wrapText="1"/>
      <protection locked="0"/>
    </xf>
    <xf numFmtId="0" fontId="17" fillId="0" borderId="54" xfId="0" applyFont="1" applyBorder="1" applyAlignment="1">
      <alignment wrapText="1"/>
    </xf>
    <xf numFmtId="165" fontId="9" fillId="0" borderId="31" xfId="5" applyNumberFormat="1" applyFont="1" applyFill="1" applyBorder="1" applyAlignment="1" applyProtection="1">
      <protection locked="0"/>
    </xf>
    <xf numFmtId="165" fontId="9" fillId="0" borderId="32" xfId="5" applyNumberFormat="1" applyFont="1" applyFill="1" applyBorder="1" applyAlignment="1" applyProtection="1">
      <protection locked="0"/>
    </xf>
    <xf numFmtId="165" fontId="9" fillId="0" borderId="23" xfId="5" applyNumberFormat="1" applyFont="1" applyFill="1" applyBorder="1" applyAlignment="1" applyProtection="1">
      <protection locked="0"/>
    </xf>
    <xf numFmtId="165" fontId="9" fillId="0" borderId="25" xfId="5" applyNumberFormat="1" applyFont="1" applyFill="1" applyBorder="1" applyAlignment="1" applyProtection="1">
      <protection locked="0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9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8" fillId="0" borderId="3" xfId="0" applyFont="1" applyBorder="1" applyAlignment="1">
      <alignment vertical="top"/>
    </xf>
    <xf numFmtId="0" fontId="8" fillId="0" borderId="6" xfId="0" applyFont="1" applyBorder="1" applyAlignment="1">
      <alignment vertical="top"/>
    </xf>
    <xf numFmtId="0" fontId="5" fillId="0" borderId="43" xfId="0" applyFont="1" applyBorder="1" applyAlignment="1" applyProtection="1">
      <alignment vertical="top" wrapText="1"/>
      <protection locked="0"/>
    </xf>
    <xf numFmtId="0" fontId="5" fillId="0" borderId="44" xfId="0" applyFont="1" applyBorder="1" applyAlignment="1" applyProtection="1">
      <alignment vertical="top" wrapText="1"/>
      <protection locked="0"/>
    </xf>
    <xf numFmtId="0" fontId="5" fillId="0" borderId="45" xfId="0" applyFont="1" applyBorder="1" applyAlignment="1" applyProtection="1">
      <alignment vertical="top" wrapText="1"/>
      <protection locked="0"/>
    </xf>
    <xf numFmtId="0" fontId="5" fillId="0" borderId="40" xfId="0" applyFont="1" applyBorder="1" applyAlignment="1">
      <alignment wrapText="1"/>
    </xf>
    <xf numFmtId="0" fontId="5" fillId="0" borderId="42" xfId="0" applyFont="1" applyBorder="1" applyAlignment="1">
      <alignment wrapText="1"/>
    </xf>
    <xf numFmtId="0" fontId="5" fillId="0" borderId="13" xfId="0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5" fillId="0" borderId="51" xfId="0" applyFont="1" applyBorder="1" applyAlignment="1" applyProtection="1">
      <alignment horizontal="left" vertical="center" wrapText="1"/>
      <protection locked="0"/>
    </xf>
    <xf numFmtId="0" fontId="5" fillId="0" borderId="52" xfId="0" applyFont="1" applyBorder="1" applyAlignment="1" applyProtection="1">
      <alignment horizontal="left" vertical="center" wrapText="1"/>
      <protection locked="0"/>
    </xf>
    <xf numFmtId="0" fontId="5" fillId="0" borderId="53" xfId="0" applyFont="1" applyBorder="1" applyAlignment="1" applyProtection="1">
      <alignment horizontal="left" vertical="center" wrapText="1"/>
      <protection locked="0"/>
    </xf>
    <xf numFmtId="0" fontId="5" fillId="0" borderId="43" xfId="0" applyFont="1" applyBorder="1" applyAlignment="1" applyProtection="1">
      <alignment horizontal="left" vertical="top" wrapText="1"/>
      <protection locked="0"/>
    </xf>
    <xf numFmtId="0" fontId="5" fillId="0" borderId="44" xfId="0" applyFont="1" applyBorder="1" applyAlignment="1" applyProtection="1">
      <alignment horizontal="left" vertical="top" wrapText="1"/>
      <protection locked="0"/>
    </xf>
    <xf numFmtId="0" fontId="5" fillId="0" borderId="45" xfId="0" applyFont="1" applyBorder="1" applyAlignment="1" applyProtection="1">
      <alignment horizontal="left" vertical="top" wrapText="1"/>
      <protection locked="0"/>
    </xf>
    <xf numFmtId="0" fontId="8" fillId="0" borderId="3" xfId="0" applyFont="1" applyBorder="1" applyAlignment="1">
      <alignment vertical="top" wrapText="1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166" fontId="7" fillId="3" borderId="11" xfId="3" applyNumberFormat="1" applyFont="1" applyBorder="1" applyAlignment="1" applyProtection="1">
      <alignment horizontal="center" vertical="center"/>
    </xf>
    <xf numFmtId="166" fontId="7" fillId="3" borderId="15" xfId="3" applyNumberFormat="1" applyFont="1" applyBorder="1" applyAlignment="1" applyProtection="1">
      <alignment horizontal="center" vertical="center"/>
    </xf>
    <xf numFmtId="0" fontId="7" fillId="3" borderId="15" xfId="3" applyFont="1" applyBorder="1" applyAlignment="1" applyProtection="1">
      <alignment horizontal="center" vertical="center"/>
    </xf>
    <xf numFmtId="0" fontId="0" fillId="0" borderId="43" xfId="0" applyBorder="1" applyAlignment="1" applyProtection="1">
      <alignment vertical="top"/>
      <protection locked="0"/>
    </xf>
    <xf numFmtId="0" fontId="0" fillId="0" borderId="44" xfId="0" applyBorder="1" applyAlignment="1" applyProtection="1">
      <alignment vertical="top"/>
      <protection locked="0"/>
    </xf>
    <xf numFmtId="0" fontId="0" fillId="0" borderId="45" xfId="0" applyBorder="1" applyAlignment="1" applyProtection="1">
      <alignment vertical="top"/>
      <protection locked="0"/>
    </xf>
    <xf numFmtId="0" fontId="8" fillId="0" borderId="16" xfId="0" applyFont="1" applyBorder="1" applyAlignment="1">
      <alignment vertical="top"/>
    </xf>
    <xf numFmtId="0" fontId="8" fillId="0" borderId="4" xfId="0" applyFont="1" applyBorder="1" applyAlignment="1">
      <alignment vertical="top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1" xfId="0" applyFont="1" applyBorder="1" applyAlignment="1">
      <alignment wrapText="1"/>
    </xf>
    <xf numFmtId="0" fontId="0" fillId="0" borderId="0" xfId="0" applyFill="1" applyBorder="1" applyAlignment="1"/>
    <xf numFmtId="0" fontId="0" fillId="0" borderId="0" xfId="0" applyAlignment="1"/>
  </cellXfs>
  <cellStyles count="6">
    <cellStyle name="Calculation" xfId="4" builtinId="22"/>
    <cellStyle name="Comma" xfId="5" builtinId="3"/>
    <cellStyle name="Currency" xfId="1" builtinId="4"/>
    <cellStyle name="Input" xfId="2" builtinId="20"/>
    <cellStyle name="Normal" xfId="0" builtinId="0"/>
    <cellStyle name="Output" xfId="3" builtinId="21"/>
  </cellStyles>
  <dxfs count="10"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0B2DDD-A711-4DE9-ADBD-EA4A08D1C3AE}" name="Table1" displayName="Table1" ref="B1:D72" totalsRowShown="0" headerRowDxfId="9" dataDxfId="8">
  <autoFilter ref="B1:D72" xr:uid="{475E8A7C-05E3-45D9-B33B-2FDEB572E0C9}"/>
  <tableColumns count="3">
    <tableColumn id="1" xr3:uid="{0D37CDE8-5FA9-4A2E-BDE4-B0FC6B3E3512}" name="Column1" dataDxfId="7"/>
    <tableColumn id="2" xr3:uid="{F48B9FDA-7368-4010-85E9-39782A155B35}" name="Column2" dataDxfId="6"/>
    <tableColumn id="3" xr3:uid="{5801CAE1-BD0E-462E-803C-95C0986DC6B2}" name="Column3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A34A48B-DAC2-45ED-9A98-0E743226907B}" name="Table13" displayName="Table13" ref="B1:D72" totalsRowShown="0" headerRowDxfId="4" dataDxfId="3">
  <autoFilter ref="B1:D72" xr:uid="{475E8A7C-05E3-45D9-B33B-2FDEB572E0C9}"/>
  <tableColumns count="3">
    <tableColumn id="1" xr3:uid="{C8970BAB-61CF-4486-BFAC-89E307B03507}" name="Column1" dataDxfId="2"/>
    <tableColumn id="2" xr3:uid="{50B7E7A5-8FC0-4139-93AF-C62B32A8F737}" name="Column2" dataDxfId="1"/>
    <tableColumn id="3" xr3:uid="{910043A0-C590-4792-9E5B-376250A63E64}" name="Column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C4C17-EF34-4750-B4C2-C6C6FFD81F2F}">
  <dimension ref="A1:I62"/>
  <sheetViews>
    <sheetView tabSelected="1" zoomScale="70" zoomScaleNormal="70" workbookViewId="0">
      <selection activeCell="D4" sqref="D4:I4"/>
    </sheetView>
  </sheetViews>
  <sheetFormatPr defaultRowHeight="14.5" x14ac:dyDescent="0.35"/>
  <cols>
    <col min="1" max="1" width="10.1796875" customWidth="1"/>
    <col min="2" max="2" width="9.54296875" customWidth="1"/>
    <col min="3" max="3" width="10.54296875" customWidth="1"/>
    <col min="4" max="4" width="8.54296875" customWidth="1"/>
    <col min="5" max="5" width="7.54296875" customWidth="1"/>
    <col min="6" max="6" width="6.54296875" customWidth="1"/>
    <col min="7" max="8" width="9.54296875" customWidth="1"/>
    <col min="9" max="9" width="17.54296875" customWidth="1"/>
  </cols>
  <sheetData>
    <row r="1" spans="1:9" ht="40" customHeight="1" x14ac:dyDescent="0.35">
      <c r="A1" s="119" t="s">
        <v>160</v>
      </c>
      <c r="B1" s="120"/>
      <c r="C1" s="120"/>
      <c r="D1" s="120"/>
      <c r="E1" s="120"/>
      <c r="F1" s="120"/>
      <c r="G1" s="120"/>
      <c r="H1" s="120"/>
      <c r="I1" s="121"/>
    </row>
    <row r="2" spans="1:9" ht="90" customHeight="1" x14ac:dyDescent="0.35">
      <c r="A2" s="119" t="s">
        <v>153</v>
      </c>
      <c r="B2" s="120"/>
      <c r="C2" s="120"/>
      <c r="D2" s="120"/>
      <c r="E2" s="120"/>
      <c r="F2" s="120"/>
      <c r="G2" s="120"/>
      <c r="H2" s="120"/>
      <c r="I2" s="121"/>
    </row>
    <row r="3" spans="1:9" ht="90" customHeight="1" x14ac:dyDescent="0.35">
      <c r="A3" s="119" t="s">
        <v>152</v>
      </c>
      <c r="B3" s="120"/>
      <c r="C3" s="120"/>
      <c r="D3" s="120"/>
      <c r="E3" s="120"/>
      <c r="F3" s="120"/>
      <c r="G3" s="120"/>
      <c r="H3" s="120"/>
      <c r="I3" s="121"/>
    </row>
    <row r="4" spans="1:9" s="1" customFormat="1" ht="40" customHeight="1" thickBot="1" x14ac:dyDescent="0.5">
      <c r="A4" s="122" t="s">
        <v>0</v>
      </c>
      <c r="B4" s="122"/>
      <c r="C4" s="123"/>
      <c r="D4" s="126"/>
      <c r="E4" s="127"/>
      <c r="F4" s="127"/>
      <c r="G4" s="127"/>
      <c r="H4" s="127"/>
      <c r="I4" s="128"/>
    </row>
    <row r="5" spans="1:9" s="1" customFormat="1" ht="50.15" customHeight="1" thickTop="1" thickBot="1" x14ac:dyDescent="0.5">
      <c r="A5" s="124" t="s">
        <v>96</v>
      </c>
      <c r="B5" s="124"/>
      <c r="C5" s="125"/>
      <c r="D5" s="129"/>
      <c r="E5" s="130"/>
      <c r="F5" s="130"/>
      <c r="G5" s="130"/>
      <c r="H5" s="130"/>
      <c r="I5" s="131"/>
    </row>
    <row r="6" spans="1:9" s="1" customFormat="1" ht="50.15" customHeight="1" thickTop="1" thickBot="1" x14ac:dyDescent="0.5">
      <c r="A6" s="107" t="s">
        <v>1</v>
      </c>
      <c r="B6" s="107"/>
      <c r="C6" s="108"/>
      <c r="D6" s="109"/>
      <c r="E6" s="110"/>
      <c r="F6" s="110"/>
      <c r="G6" s="110"/>
      <c r="H6" s="110"/>
      <c r="I6" s="111"/>
    </row>
    <row r="7" spans="1:9" s="1" customFormat="1" ht="50.15" customHeight="1" thickTop="1" thickBot="1" x14ac:dyDescent="0.5">
      <c r="A7" s="107" t="s">
        <v>94</v>
      </c>
      <c r="B7" s="107"/>
      <c r="C7" s="108"/>
      <c r="D7" s="109"/>
      <c r="E7" s="110"/>
      <c r="F7" s="110"/>
      <c r="G7" s="110"/>
      <c r="H7" s="110"/>
      <c r="I7" s="111"/>
    </row>
    <row r="8" spans="1:9" s="2" customFormat="1" ht="80.150000000000006" customHeight="1" thickTop="1" thickBot="1" x14ac:dyDescent="0.4">
      <c r="A8" s="107" t="s">
        <v>2</v>
      </c>
      <c r="B8" s="107"/>
      <c r="C8" s="108"/>
      <c r="D8" s="109"/>
      <c r="E8" s="110"/>
      <c r="F8" s="110"/>
      <c r="G8" s="110"/>
      <c r="H8" s="110"/>
      <c r="I8" s="111"/>
    </row>
    <row r="9" spans="1:9" s="2" customFormat="1" ht="75" customHeight="1" thickTop="1" thickBot="1" x14ac:dyDescent="0.4">
      <c r="A9" s="132" t="s">
        <v>95</v>
      </c>
      <c r="B9" s="132"/>
      <c r="C9" s="62"/>
      <c r="D9" s="109"/>
      <c r="E9" s="110"/>
      <c r="F9" s="110"/>
      <c r="G9" s="110"/>
      <c r="H9" s="110"/>
      <c r="I9" s="111"/>
    </row>
    <row r="10" spans="1:9" s="2" customFormat="1" ht="50.15" customHeight="1" thickTop="1" thickBot="1" x14ac:dyDescent="0.4">
      <c r="A10" s="107" t="s">
        <v>3</v>
      </c>
      <c r="B10" s="107"/>
      <c r="C10" s="108"/>
      <c r="D10" s="109"/>
      <c r="E10" s="110"/>
      <c r="F10" s="110"/>
      <c r="G10" s="110"/>
      <c r="H10" s="110"/>
      <c r="I10" s="111"/>
    </row>
    <row r="11" spans="1:9" s="2" customFormat="1" ht="50.15" customHeight="1" thickTop="1" thickBot="1" x14ac:dyDescent="0.4">
      <c r="A11" s="107" t="s">
        <v>4</v>
      </c>
      <c r="B11" s="107"/>
      <c r="C11" s="108"/>
      <c r="D11" s="109"/>
      <c r="E11" s="110"/>
      <c r="F11" s="110"/>
      <c r="G11" s="110"/>
      <c r="H11" s="110"/>
      <c r="I11" s="111"/>
    </row>
    <row r="12" spans="1:9" s="2" customFormat="1" ht="18" customHeight="1" thickTop="1" x14ac:dyDescent="0.35">
      <c r="A12" s="62" t="s">
        <v>91</v>
      </c>
      <c r="B12" s="63"/>
      <c r="C12" s="64"/>
      <c r="D12" s="135">
        <f>I21</f>
        <v>0</v>
      </c>
      <c r="E12" s="135"/>
      <c r="F12" s="135"/>
      <c r="G12" s="135"/>
      <c r="H12" s="135"/>
      <c r="I12" s="135"/>
    </row>
    <row r="13" spans="1:9" s="2" customFormat="1" ht="38.15" customHeight="1" x14ac:dyDescent="0.35">
      <c r="A13" s="62" t="s">
        <v>92</v>
      </c>
      <c r="B13" s="63"/>
      <c r="C13" s="64"/>
      <c r="D13" s="65">
        <f>I30</f>
        <v>0</v>
      </c>
      <c r="E13" s="66"/>
      <c r="F13" s="66"/>
      <c r="G13" s="66"/>
      <c r="H13" s="66"/>
      <c r="I13" s="66"/>
    </row>
    <row r="14" spans="1:9" s="2" customFormat="1" ht="38.15" customHeight="1" x14ac:dyDescent="0.35">
      <c r="A14" s="62" t="s">
        <v>158</v>
      </c>
      <c r="B14" s="63"/>
      <c r="C14" s="64"/>
      <c r="D14" s="65">
        <f>I38</f>
        <v>0</v>
      </c>
      <c r="E14" s="66"/>
      <c r="F14" s="66"/>
      <c r="G14" s="66"/>
      <c r="H14" s="66"/>
      <c r="I14" s="66"/>
    </row>
    <row r="15" spans="1:9" s="2" customFormat="1" ht="18" customHeight="1" thickBot="1" x14ac:dyDescent="0.4">
      <c r="A15" s="107" t="s">
        <v>93</v>
      </c>
      <c r="B15" s="107"/>
      <c r="C15" s="107"/>
      <c r="D15" s="136">
        <f>I39</f>
        <v>0</v>
      </c>
      <c r="E15" s="137"/>
      <c r="F15" s="137"/>
      <c r="G15" s="137"/>
      <c r="H15" s="137"/>
      <c r="I15" s="137"/>
    </row>
    <row r="16" spans="1:9" s="2" customFormat="1" ht="37" customHeight="1" thickTop="1" thickBot="1" x14ac:dyDescent="0.4">
      <c r="A16" s="141" t="s">
        <v>90</v>
      </c>
      <c r="B16" s="142"/>
      <c r="C16" s="142"/>
      <c r="D16" s="138"/>
      <c r="E16" s="139"/>
      <c r="F16" s="139"/>
      <c r="G16" s="139"/>
      <c r="H16" s="139"/>
      <c r="I16" s="140"/>
    </row>
    <row r="17" spans="1:9" s="3" customFormat="1" ht="33" customHeight="1" thickTop="1" thickBot="1" x14ac:dyDescent="0.4">
      <c r="A17" s="143" t="s">
        <v>5</v>
      </c>
      <c r="B17" s="144"/>
      <c r="C17" s="144"/>
      <c r="D17" s="145"/>
      <c r="E17" s="146"/>
      <c r="F17" s="21" t="s">
        <v>9</v>
      </c>
      <c r="G17" s="22" t="s">
        <v>6</v>
      </c>
      <c r="H17" s="43" t="s">
        <v>7</v>
      </c>
      <c r="I17" s="44" t="s">
        <v>10</v>
      </c>
    </row>
    <row r="18" spans="1:9" ht="37" customHeight="1" thickTop="1" x14ac:dyDescent="0.45">
      <c r="A18" s="83" t="s">
        <v>97</v>
      </c>
      <c r="B18" s="84"/>
      <c r="C18" s="84"/>
      <c r="D18" s="84"/>
      <c r="E18" s="84"/>
      <c r="F18" s="23"/>
      <c r="G18" s="7">
        <v>5716</v>
      </c>
      <c r="H18" s="8">
        <v>6002</v>
      </c>
      <c r="I18" s="9" cm="1">
        <f t="array" ref="I18">_xlfn.IFS(F18+F19+F20&lt;40,F18*H18,F18+F19+F20&gt;39,F18*G18,F18&lt;40,F18*H18,F18&gt;39,F18*G18)</f>
        <v>0</v>
      </c>
    </row>
    <row r="19" spans="1:9" ht="54" customHeight="1" x14ac:dyDescent="0.45">
      <c r="A19" s="101" t="s">
        <v>100</v>
      </c>
      <c r="B19" s="102"/>
      <c r="C19" s="102"/>
      <c r="D19" s="102"/>
      <c r="E19" s="102"/>
      <c r="F19" s="24"/>
      <c r="G19" s="10">
        <v>4459</v>
      </c>
      <c r="H19" s="11">
        <v>4682</v>
      </c>
      <c r="I19" s="12" cm="1">
        <f t="array" ref="I19">_xlfn.IFS(F18+F19+F20&lt;40,F19*H19,F18+F19+F20&gt;39,F19*G19,F19&lt;40,F19*H19,F19&gt;39,F19*G19)</f>
        <v>0</v>
      </c>
    </row>
    <row r="20" spans="1:9" ht="54" customHeight="1" thickBot="1" x14ac:dyDescent="0.5">
      <c r="A20" s="85" t="s">
        <v>99</v>
      </c>
      <c r="B20" s="86"/>
      <c r="C20" s="86"/>
      <c r="D20" s="86"/>
      <c r="E20" s="86"/>
      <c r="F20" s="25"/>
      <c r="G20" s="13">
        <v>3314</v>
      </c>
      <c r="H20" s="14">
        <v>3480</v>
      </c>
      <c r="I20" s="15" cm="1">
        <f t="array" ref="I20">_xlfn.IFS(F18+F19+F20&lt;40,F20*H20,F18+F19+F20&gt;39,F20*G20,F20&lt;40,F20*H20,F20&gt;39,F20*G20)</f>
        <v>0</v>
      </c>
    </row>
    <row r="21" spans="1:9" ht="18" customHeight="1" thickTop="1" x14ac:dyDescent="0.35">
      <c r="A21" s="114" t="s">
        <v>8</v>
      </c>
      <c r="B21" s="115"/>
      <c r="C21" s="115"/>
      <c r="D21" s="115"/>
      <c r="E21" s="115"/>
      <c r="F21" s="116"/>
      <c r="G21" s="117"/>
      <c r="H21" s="118"/>
      <c r="I21" s="36">
        <f>I18+I19+I20</f>
        <v>0</v>
      </c>
    </row>
    <row r="22" spans="1:9" ht="35.25" customHeight="1" x14ac:dyDescent="0.35">
      <c r="A22" s="103" t="s">
        <v>11</v>
      </c>
      <c r="B22" s="104"/>
      <c r="C22" s="104"/>
      <c r="D22" s="104"/>
      <c r="E22" s="104"/>
      <c r="F22" s="112" t="s">
        <v>82</v>
      </c>
      <c r="G22" s="112"/>
      <c r="H22" s="112" t="s">
        <v>83</v>
      </c>
      <c r="I22" s="133" t="s">
        <v>10</v>
      </c>
    </row>
    <row r="23" spans="1:9" ht="35.15" customHeight="1" thickBot="1" x14ac:dyDescent="0.5">
      <c r="A23" s="105" t="s">
        <v>143</v>
      </c>
      <c r="B23" s="106"/>
      <c r="C23" s="106"/>
      <c r="D23" s="106"/>
      <c r="E23" s="106"/>
      <c r="F23" s="113"/>
      <c r="G23" s="113"/>
      <c r="H23" s="147"/>
      <c r="I23" s="134"/>
    </row>
    <row r="24" spans="1:9" ht="45" customHeight="1" thickTop="1" x14ac:dyDescent="0.45">
      <c r="A24" s="87" t="s">
        <v>80</v>
      </c>
      <c r="B24" s="93"/>
      <c r="C24" s="93"/>
      <c r="D24" s="93"/>
      <c r="E24" s="94"/>
      <c r="F24" s="97">
        <v>0</v>
      </c>
      <c r="G24" s="98"/>
      <c r="H24" s="16" cm="1">
        <f t="array" ref="H24">_xlfn.XLOOKUP('ITE Land Use Code information'!A1,Table1[[#All],[Column1]],Table1[[#All],[Column3]])</f>
        <v>5.68</v>
      </c>
      <c r="I24" s="17">
        <f t="shared" ref="I24:I29" si="0">F24*H24</f>
        <v>0</v>
      </c>
    </row>
    <row r="25" spans="1:9" ht="45" customHeight="1" x14ac:dyDescent="0.45">
      <c r="A25" s="71" t="s">
        <v>26</v>
      </c>
      <c r="B25" s="72"/>
      <c r="C25" s="72"/>
      <c r="D25" s="72"/>
      <c r="E25" s="73"/>
      <c r="F25" s="67"/>
      <c r="G25" s="68"/>
      <c r="H25" s="18" cm="1">
        <f t="array" ref="H25">_xlfn.XLOOKUP('ITE Land Use Code information'!A2,Table1[[#All],[Column1]],Table1[[#All],[Column3]])</f>
        <v>3.34</v>
      </c>
      <c r="I25" s="19">
        <f t="shared" si="0"/>
        <v>0</v>
      </c>
    </row>
    <row r="26" spans="1:9" ht="45" customHeight="1" x14ac:dyDescent="0.45">
      <c r="A26" s="71" t="s">
        <v>37</v>
      </c>
      <c r="B26" s="72"/>
      <c r="C26" s="72"/>
      <c r="D26" s="72"/>
      <c r="E26" s="73"/>
      <c r="F26" s="67"/>
      <c r="G26" s="68"/>
      <c r="H26" s="18" cm="1">
        <f t="array" ref="H26">_xlfn.XLOOKUP('ITE Land Use Code information'!A3,Table1[[#All],[Column1]],Table1[[#All],[Column3]])</f>
        <v>4.51</v>
      </c>
      <c r="I26" s="19">
        <f t="shared" si="0"/>
        <v>0</v>
      </c>
    </row>
    <row r="27" spans="1:9" ht="45" customHeight="1" x14ac:dyDescent="0.45">
      <c r="A27" s="71" t="s">
        <v>39</v>
      </c>
      <c r="B27" s="72"/>
      <c r="C27" s="72"/>
      <c r="D27" s="72"/>
      <c r="E27" s="73"/>
      <c r="F27" s="67"/>
      <c r="G27" s="68"/>
      <c r="H27" s="18" cm="1">
        <f t="array" ref="H27">_xlfn.XLOOKUP('ITE Land Use Code information'!A4,Table1[[#All],[Column1]],Table1[[#All],[Column3]])</f>
        <v>3.92</v>
      </c>
      <c r="I27" s="19">
        <f t="shared" si="0"/>
        <v>0</v>
      </c>
    </row>
    <row r="28" spans="1:9" ht="45" customHeight="1" x14ac:dyDescent="0.45">
      <c r="A28" s="71" t="s">
        <v>154</v>
      </c>
      <c r="B28" s="72"/>
      <c r="C28" s="72"/>
      <c r="D28" s="72"/>
      <c r="E28" s="73"/>
      <c r="F28" s="67"/>
      <c r="G28" s="68"/>
      <c r="H28" s="18" cm="1">
        <f t="array" ref="H28">_xlfn.XLOOKUP('ITE Land Use Code information'!A5,Table1[[#All],[Column1]],Table1[[#All],[Column3]])</f>
        <v>4.51</v>
      </c>
      <c r="I28" s="19">
        <f t="shared" si="0"/>
        <v>0</v>
      </c>
    </row>
    <row r="29" spans="1:9" ht="45" customHeight="1" thickBot="1" x14ac:dyDescent="0.5">
      <c r="A29" s="74" t="s">
        <v>72</v>
      </c>
      <c r="B29" s="75"/>
      <c r="C29" s="75"/>
      <c r="D29" s="75"/>
      <c r="E29" s="76"/>
      <c r="F29" s="69"/>
      <c r="G29" s="70"/>
      <c r="H29" s="51" cm="1">
        <f t="array" ref="H29">_xlfn.XLOOKUP('ITE Land Use Code information'!A6,Table1[[#All],[Column1]],Table1[[#All],[Column3]])</f>
        <v>5.09</v>
      </c>
      <c r="I29" s="20">
        <f t="shared" si="0"/>
        <v>0</v>
      </c>
    </row>
    <row r="30" spans="1:9" ht="18" customHeight="1" thickTop="1" x14ac:dyDescent="0.35">
      <c r="A30" s="77" t="s">
        <v>88</v>
      </c>
      <c r="B30" s="78"/>
      <c r="C30" s="78"/>
      <c r="D30" s="78"/>
      <c r="E30" s="78"/>
      <c r="F30" s="78"/>
      <c r="G30" s="78"/>
      <c r="H30" s="79"/>
      <c r="I30" s="37">
        <f>I24+I25+I26+I27+I28+I29</f>
        <v>0</v>
      </c>
    </row>
    <row r="31" spans="1:9" ht="33" customHeight="1" thickBot="1" x14ac:dyDescent="0.4">
      <c r="A31" s="80" t="s">
        <v>159</v>
      </c>
      <c r="B31" s="81"/>
      <c r="C31" s="81"/>
      <c r="D31" s="81"/>
      <c r="E31" s="81"/>
      <c r="F31" s="81"/>
      <c r="G31" s="81"/>
      <c r="H31" s="81"/>
      <c r="I31" s="82"/>
    </row>
    <row r="32" spans="1:9" ht="37" customHeight="1" thickTop="1" x14ac:dyDescent="0.45">
      <c r="A32" s="83" t="s">
        <v>97</v>
      </c>
      <c r="B32" s="84"/>
      <c r="C32" s="84"/>
      <c r="D32" s="84"/>
      <c r="E32" s="84"/>
      <c r="F32" s="23"/>
      <c r="G32" s="55"/>
      <c r="H32" s="55"/>
      <c r="I32" s="56" cm="1">
        <f t="array" ref="I32">_xlfn.IFS(F18+F19+F20&lt;40,F32*H18,F18+F19+F20&gt;39,F32*G18,F18&lt;40,F32*H18,F18&gt;39,F32*G18)</f>
        <v>0</v>
      </c>
    </row>
    <row r="33" spans="1:9" ht="54" customHeight="1" x14ac:dyDescent="0.45">
      <c r="A33" s="101" t="s">
        <v>100</v>
      </c>
      <c r="B33" s="102"/>
      <c r="C33" s="102"/>
      <c r="D33" s="102"/>
      <c r="E33" s="102"/>
      <c r="F33" s="24"/>
      <c r="G33" s="55"/>
      <c r="H33" s="55"/>
      <c r="I33" s="56" cm="1">
        <f t="array" ref="I33">_xlfn.IFS(F18+F19+F20&lt;40,F33*H19,F18+F19+F20&gt;39,F33*G19,F19&lt;40,F33*H19,F19&gt;39,F33*G19)</f>
        <v>0</v>
      </c>
    </row>
    <row r="34" spans="1:9" ht="54" customHeight="1" thickBot="1" x14ac:dyDescent="0.5">
      <c r="A34" s="85" t="s">
        <v>99</v>
      </c>
      <c r="B34" s="86"/>
      <c r="C34" s="86"/>
      <c r="D34" s="86"/>
      <c r="E34" s="86"/>
      <c r="F34" s="25"/>
      <c r="G34" s="53"/>
      <c r="H34" s="54"/>
      <c r="I34" s="56" cm="1">
        <f t="array" ref="I34">_xlfn.IFS(F18+F19+F20&lt;40,F34*H20,F18+F19+F20&gt;39,F34*G20,F20&lt;40,F34*H20,F20&gt;39,F34*G20)</f>
        <v>0</v>
      </c>
    </row>
    <row r="35" spans="1:9" ht="76" customHeight="1" thickTop="1" thickBot="1" x14ac:dyDescent="0.5">
      <c r="A35" s="90" t="s">
        <v>155</v>
      </c>
      <c r="B35" s="91"/>
      <c r="C35" s="91"/>
      <c r="D35" s="91"/>
      <c r="E35" s="92"/>
      <c r="F35" s="95" t="s">
        <v>82</v>
      </c>
      <c r="G35" s="96"/>
      <c r="H35" s="57" t="s">
        <v>83</v>
      </c>
      <c r="I35" s="58"/>
    </row>
    <row r="36" spans="1:9" ht="54" customHeight="1" thickTop="1" x14ac:dyDescent="0.45">
      <c r="A36" s="87" t="s">
        <v>23</v>
      </c>
      <c r="B36" s="88"/>
      <c r="C36" s="88"/>
      <c r="D36" s="88"/>
      <c r="E36" s="89"/>
      <c r="F36" s="99"/>
      <c r="G36" s="100"/>
      <c r="H36" s="16" cm="1">
        <f t="array" ref="H36">_xlfn.XLOOKUP('ITE Land Use Code info 2'!A1,Table1[[#All],[Column1]],Table1[[#All],[Column3]])</f>
        <v>3.34</v>
      </c>
      <c r="I36" s="17">
        <f>F36*H36</f>
        <v>0</v>
      </c>
    </row>
    <row r="37" spans="1:9" ht="54" customHeight="1" x14ac:dyDescent="0.45">
      <c r="A37" s="71" t="s">
        <v>156</v>
      </c>
      <c r="B37" s="72"/>
      <c r="C37" s="72"/>
      <c r="D37" s="72"/>
      <c r="E37" s="73"/>
      <c r="F37" s="67"/>
      <c r="G37" s="68"/>
      <c r="H37" s="18" cm="1">
        <f t="array" ref="H37">_xlfn.XLOOKUP('ITE Land Use Code info 2'!A2,Table1[[#All],[Column1]],Table1[[#All],[Column3]])</f>
        <v>3.34</v>
      </c>
      <c r="I37" s="19">
        <f t="shared" ref="I37" si="1">F37*H37</f>
        <v>0</v>
      </c>
    </row>
    <row r="38" spans="1:9" ht="54" customHeight="1" x14ac:dyDescent="0.35">
      <c r="A38" s="59" t="s">
        <v>157</v>
      </c>
      <c r="B38" s="60"/>
      <c r="C38" s="60"/>
      <c r="D38" s="60"/>
      <c r="E38" s="60"/>
      <c r="F38" s="60"/>
      <c r="G38" s="60"/>
      <c r="H38" s="61"/>
      <c r="I38" s="37">
        <f>I32+I33+I34+I36+I37</f>
        <v>0</v>
      </c>
    </row>
    <row r="39" spans="1:9" ht="18" customHeight="1" x14ac:dyDescent="0.35">
      <c r="A39" s="59" t="s">
        <v>89</v>
      </c>
      <c r="B39" s="60"/>
      <c r="C39" s="60"/>
      <c r="D39" s="60"/>
      <c r="E39" s="60"/>
      <c r="F39" s="60"/>
      <c r="G39" s="60"/>
      <c r="H39" s="61"/>
      <c r="I39" s="37" cm="1">
        <f t="array" ref="I39">_xlfn.IFS(I21+I30-I38&lt;0,0,I21+I30-I38=0,0,I21+I30-I38&gt;0,I21+I30-I38)</f>
        <v>0</v>
      </c>
    </row>
    <row r="40" spans="1:9" ht="24" customHeight="1" x14ac:dyDescent="0.35"/>
    <row r="41" spans="1:9" ht="24" customHeight="1" x14ac:dyDescent="0.35"/>
    <row r="61" ht="14.5" customHeight="1" x14ac:dyDescent="0.35"/>
    <row r="62" ht="14.5" customHeight="1" x14ac:dyDescent="0.35"/>
  </sheetData>
  <sheetProtection algorithmName="SHA-512" hashValue="mAFyPCFKwco0NPhnjsrSgIDwSir34xQ2isWRjpZncB5EQcoYxi/Wd6HWK3CQhXpjgxgViybRNXJ4rWwoda2QaA==" saltValue="FYenMMhJxkwD3JqjfkXg/Q==" spinCount="100000" sheet="1" selectLockedCells="1"/>
  <mergeCells count="64">
    <mergeCell ref="A37:E37"/>
    <mergeCell ref="F37:G37"/>
    <mergeCell ref="I22:I23"/>
    <mergeCell ref="A12:C12"/>
    <mergeCell ref="D12:I12"/>
    <mergeCell ref="A13:C13"/>
    <mergeCell ref="D13:I13"/>
    <mergeCell ref="D15:I15"/>
    <mergeCell ref="A15:C15"/>
    <mergeCell ref="D16:I16"/>
    <mergeCell ref="A16:C16"/>
    <mergeCell ref="A18:E18"/>
    <mergeCell ref="A19:E19"/>
    <mergeCell ref="A20:E20"/>
    <mergeCell ref="A17:E17"/>
    <mergeCell ref="H22:H23"/>
    <mergeCell ref="A1:I1"/>
    <mergeCell ref="A4:C4"/>
    <mergeCell ref="A5:C5"/>
    <mergeCell ref="A6:C6"/>
    <mergeCell ref="D9:I9"/>
    <mergeCell ref="D4:I4"/>
    <mergeCell ref="D5:I5"/>
    <mergeCell ref="D6:I6"/>
    <mergeCell ref="A7:C7"/>
    <mergeCell ref="D7:I7"/>
    <mergeCell ref="A3:I3"/>
    <mergeCell ref="A2:I2"/>
    <mergeCell ref="A8:C8"/>
    <mergeCell ref="A9:C9"/>
    <mergeCell ref="D8:I8"/>
    <mergeCell ref="A22:E22"/>
    <mergeCell ref="A23:E23"/>
    <mergeCell ref="A11:C11"/>
    <mergeCell ref="D10:I10"/>
    <mergeCell ref="D11:I11"/>
    <mergeCell ref="F22:G23"/>
    <mergeCell ref="A10:C10"/>
    <mergeCell ref="A21:H21"/>
    <mergeCell ref="A36:E36"/>
    <mergeCell ref="A35:E35"/>
    <mergeCell ref="A24:E24"/>
    <mergeCell ref="F35:G35"/>
    <mergeCell ref="F24:G24"/>
    <mergeCell ref="F36:G36"/>
    <mergeCell ref="F25:G25"/>
    <mergeCell ref="A25:E25"/>
    <mergeCell ref="A33:E33"/>
    <mergeCell ref="A38:H38"/>
    <mergeCell ref="A14:C14"/>
    <mergeCell ref="D14:I14"/>
    <mergeCell ref="A39:H39"/>
    <mergeCell ref="F26:G26"/>
    <mergeCell ref="F27:G27"/>
    <mergeCell ref="F28:G28"/>
    <mergeCell ref="F29:G29"/>
    <mergeCell ref="A26:E26"/>
    <mergeCell ref="A27:E27"/>
    <mergeCell ref="A28:E28"/>
    <mergeCell ref="A29:E29"/>
    <mergeCell ref="A30:H30"/>
    <mergeCell ref="A31:I31"/>
    <mergeCell ref="A32:E32"/>
    <mergeCell ref="A34:E34"/>
  </mergeCell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428" yWindow="468" count="2">
        <x14:dataValidation type="list" showInputMessage="1" showErrorMessage="1" promptTitle="Non-Residential Land Use Codes" prompt="Please select an ITE Land Use Code from the list" xr:uid="{E5C4374D-CC0D-485A-BD38-B90B0C43D34D}">
          <x14:formula1>
            <xm:f>'ITE Land Use Code information'!$B$3:$B$72</xm:f>
          </x14:formula1>
          <xm:sqref>A24:E24 A36:E36</xm:sqref>
        </x14:dataValidation>
        <x14:dataValidation type="list" allowBlank="1" showInputMessage="1" showErrorMessage="1" promptTitle="Non-Residential Land Use Codes" prompt="Please select an ITE Land Use Code from the list" xr:uid="{1F3FFBF5-7F0A-4E63-AA92-96CAADB7B1F0}">
          <x14:formula1>
            <xm:f>'ITE Land Use Code information'!$B$3:$B$72</xm:f>
          </x14:formula1>
          <xm:sqref>A25:E29 A37:E37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60E69-AE37-4D92-B121-8BC5C163086C}">
  <dimension ref="A1:H72"/>
  <sheetViews>
    <sheetView workbookViewId="0">
      <selection activeCell="F15" sqref="F15"/>
    </sheetView>
  </sheetViews>
  <sheetFormatPr defaultRowHeight="14.5" x14ac:dyDescent="0.35"/>
  <cols>
    <col min="1" max="1" width="48.54296875" customWidth="1"/>
    <col min="2" max="2" width="50.54296875" customWidth="1"/>
    <col min="3" max="3" width="20.54296875" customWidth="1"/>
    <col min="5" max="7" width="20.54296875" customWidth="1"/>
  </cols>
  <sheetData>
    <row r="1" spans="1:8" x14ac:dyDescent="0.35">
      <c r="A1" s="5" t="str">
        <f>'Fee Calculation Form'!A24</f>
        <v>960 Super Convenience Market/Gas Station</v>
      </c>
      <c r="B1" s="4" t="s">
        <v>81</v>
      </c>
      <c r="C1" s="4" t="s">
        <v>85</v>
      </c>
      <c r="D1" s="4" t="s">
        <v>87</v>
      </c>
      <c r="E1" s="31" t="s">
        <v>81</v>
      </c>
      <c r="F1" s="32" t="s">
        <v>85</v>
      </c>
      <c r="G1" s="32" t="s">
        <v>87</v>
      </c>
      <c r="H1" s="33" t="s">
        <v>123</v>
      </c>
    </row>
    <row r="2" spans="1:8" x14ac:dyDescent="0.35">
      <c r="A2" s="5" t="str">
        <f>'Fee Calculation Form'!A25</f>
        <v>311 All Suites Hotel</v>
      </c>
      <c r="B2" s="4" t="s">
        <v>13</v>
      </c>
      <c r="C2" s="4" t="s">
        <v>84</v>
      </c>
      <c r="D2" s="4" t="s">
        <v>86</v>
      </c>
      <c r="E2" s="29" t="s">
        <v>13</v>
      </c>
      <c r="F2" s="34" t="s">
        <v>122</v>
      </c>
      <c r="G2" s="34" t="s">
        <v>84</v>
      </c>
      <c r="H2" s="35" t="s">
        <v>86</v>
      </c>
    </row>
    <row r="3" spans="1:8" x14ac:dyDescent="0.35">
      <c r="A3" s="5" t="str">
        <f>'Fee Calculation Form'!A26</f>
        <v>590 Library</v>
      </c>
      <c r="B3" s="4" t="s">
        <v>12</v>
      </c>
      <c r="C3" s="6">
        <v>4.2</v>
      </c>
      <c r="D3" s="49">
        <v>3.34</v>
      </c>
      <c r="E3" s="26" t="s">
        <v>25</v>
      </c>
      <c r="F3" s="27">
        <f>8.36</f>
        <v>8.36</v>
      </c>
      <c r="G3" s="27">
        <f>8.36*(1000/600)</f>
        <v>13.933333333333334</v>
      </c>
      <c r="H3" s="28">
        <v>3.34</v>
      </c>
    </row>
    <row r="4" spans="1:8" x14ac:dyDescent="0.35">
      <c r="A4" s="5" t="str">
        <f>'Fee Calculation Form'!A27</f>
        <v>640 Animal Hospital/Veterinary Clinic</v>
      </c>
      <c r="B4" s="4" t="s">
        <v>14</v>
      </c>
      <c r="C4" s="6">
        <v>3.37</v>
      </c>
      <c r="D4" s="49">
        <v>3.34</v>
      </c>
      <c r="E4" s="29" t="s">
        <v>26</v>
      </c>
      <c r="F4" s="30">
        <f>4.46</f>
        <v>4.46</v>
      </c>
      <c r="G4" s="30">
        <f>4.46*(1000/600)</f>
        <v>7.4333333333333336</v>
      </c>
      <c r="H4" s="28">
        <v>3.34</v>
      </c>
    </row>
    <row r="5" spans="1:8" ht="72.5" x14ac:dyDescent="0.35">
      <c r="A5" s="5" t="str">
        <f>'Fee Calculation Form'!A28</f>
        <v>820 Shopping Center (an integrated group of commercial establishments that is planned,
developed, owned, and managed as a unit; except that freestanding convenience stores and fast-food establishments shall be excluded)</v>
      </c>
      <c r="B5" s="4" t="s">
        <v>15</v>
      </c>
      <c r="C5" s="6">
        <v>3.93</v>
      </c>
      <c r="D5" s="49">
        <v>3.34</v>
      </c>
      <c r="E5" s="26" t="s">
        <v>27</v>
      </c>
      <c r="F5" s="27">
        <f>4.02</f>
        <v>4.0199999999999996</v>
      </c>
      <c r="G5" s="27">
        <f>4.02*(1000/600)</f>
        <v>6.6999999999999993</v>
      </c>
      <c r="H5" s="28">
        <v>3.34</v>
      </c>
    </row>
    <row r="6" spans="1:8" x14ac:dyDescent="0.35">
      <c r="A6" s="5" t="str">
        <f>'Fee Calculation Form'!A29</f>
        <v>912 Drive-In Bank</v>
      </c>
      <c r="B6" s="4" t="s">
        <v>16</v>
      </c>
      <c r="C6" s="6">
        <v>1.74</v>
      </c>
      <c r="D6" s="49">
        <v>3.34</v>
      </c>
      <c r="E6" s="29" t="s">
        <v>28</v>
      </c>
      <c r="F6" s="30">
        <f>3.35</f>
        <v>3.35</v>
      </c>
      <c r="G6" s="30">
        <f>3.35*(1000/600)</f>
        <v>5.5833333333333339</v>
      </c>
      <c r="H6" s="28">
        <v>3.34</v>
      </c>
    </row>
    <row r="7" spans="1:8" x14ac:dyDescent="0.35">
      <c r="B7" s="4" t="s">
        <v>17</v>
      </c>
      <c r="C7" s="6">
        <v>1.51</v>
      </c>
      <c r="D7" s="49">
        <v>3.34</v>
      </c>
      <c r="E7" s="26" t="s">
        <v>29</v>
      </c>
      <c r="F7" s="27">
        <f>0.32</f>
        <v>0.32</v>
      </c>
      <c r="G7" s="27">
        <f>0.32*(1000/600)</f>
        <v>0.53333333333333333</v>
      </c>
      <c r="H7" s="28">
        <v>3.34</v>
      </c>
    </row>
    <row r="8" spans="1:8" x14ac:dyDescent="0.35">
      <c r="B8" s="4" t="s">
        <v>18</v>
      </c>
      <c r="C8" s="6">
        <v>1.4</v>
      </c>
      <c r="D8" s="49">
        <v>3.34</v>
      </c>
    </row>
    <row r="9" spans="1:8" x14ac:dyDescent="0.35">
      <c r="B9" s="4" t="s">
        <v>19</v>
      </c>
      <c r="C9" s="6">
        <v>1.81</v>
      </c>
      <c r="D9" s="49">
        <v>3.34</v>
      </c>
    </row>
    <row r="10" spans="1:8" x14ac:dyDescent="0.35">
      <c r="B10" s="4" t="s">
        <v>20</v>
      </c>
      <c r="C10" s="6">
        <v>4.63</v>
      </c>
      <c r="D10" s="49">
        <v>3.34</v>
      </c>
    </row>
    <row r="11" spans="1:8" x14ac:dyDescent="0.35">
      <c r="B11" s="4" t="s">
        <v>21</v>
      </c>
      <c r="C11" s="6">
        <v>2.12</v>
      </c>
      <c r="D11" s="49">
        <v>3.34</v>
      </c>
    </row>
    <row r="12" spans="1:8" x14ac:dyDescent="0.35">
      <c r="B12" s="4" t="s">
        <v>22</v>
      </c>
      <c r="C12" s="6">
        <v>0.99</v>
      </c>
      <c r="D12" s="49">
        <v>3.34</v>
      </c>
    </row>
    <row r="13" spans="1:8" x14ac:dyDescent="0.35">
      <c r="B13" s="4" t="s">
        <v>23</v>
      </c>
      <c r="C13" s="6">
        <v>13.24</v>
      </c>
      <c r="D13" s="49">
        <v>3.34</v>
      </c>
    </row>
    <row r="14" spans="1:8" x14ac:dyDescent="0.35">
      <c r="B14" s="4" t="s">
        <v>24</v>
      </c>
      <c r="C14" s="6">
        <v>10.220000000000001</v>
      </c>
      <c r="D14" s="49">
        <v>3.34</v>
      </c>
    </row>
    <row r="15" spans="1:8" x14ac:dyDescent="0.35">
      <c r="B15" s="26" t="s">
        <v>25</v>
      </c>
      <c r="C15" s="47">
        <f>8.36*(1000/600)</f>
        <v>13.933333333333334</v>
      </c>
      <c r="D15" s="49">
        <v>3.34</v>
      </c>
    </row>
    <row r="16" spans="1:8" x14ac:dyDescent="0.35">
      <c r="B16" s="29" t="s">
        <v>26</v>
      </c>
      <c r="C16" s="48">
        <f>4.46*(1000/600)</f>
        <v>7.4333333333333336</v>
      </c>
      <c r="D16" s="49">
        <v>3.34</v>
      </c>
    </row>
    <row r="17" spans="2:4" x14ac:dyDescent="0.35">
      <c r="B17" s="26" t="s">
        <v>27</v>
      </c>
      <c r="C17" s="47">
        <f>4.02*(1000/600)</f>
        <v>6.6999999999999993</v>
      </c>
      <c r="D17" s="49">
        <v>3.34</v>
      </c>
    </row>
    <row r="18" spans="2:4" x14ac:dyDescent="0.35">
      <c r="B18" s="29" t="s">
        <v>28</v>
      </c>
      <c r="C18" s="48">
        <f>3.35*(1000/600)</f>
        <v>5.5833333333333339</v>
      </c>
      <c r="D18" s="49">
        <v>3.34</v>
      </c>
    </row>
    <row r="19" spans="2:4" x14ac:dyDescent="0.35">
      <c r="B19" s="26" t="s">
        <v>29</v>
      </c>
      <c r="C19" s="47">
        <f>0.32*(1000/600)</f>
        <v>0.53333333333333333</v>
      </c>
      <c r="D19" s="49">
        <v>3.34</v>
      </c>
    </row>
    <row r="20" spans="2:4" x14ac:dyDescent="0.35">
      <c r="B20" s="4" t="s">
        <v>30</v>
      </c>
      <c r="C20" s="6">
        <v>19.52</v>
      </c>
      <c r="D20" s="49">
        <v>3.34</v>
      </c>
    </row>
    <row r="21" spans="2:4" x14ac:dyDescent="0.35">
      <c r="B21" s="4" t="s">
        <v>31</v>
      </c>
      <c r="C21" s="6">
        <v>20.170000000000002</v>
      </c>
      <c r="D21" s="49">
        <v>3.34</v>
      </c>
    </row>
    <row r="22" spans="2:4" x14ac:dyDescent="0.35">
      <c r="B22" s="4" t="s">
        <v>32</v>
      </c>
      <c r="C22" s="6">
        <v>14.07</v>
      </c>
      <c r="D22" s="49">
        <v>3.34</v>
      </c>
    </row>
    <row r="23" spans="2:4" x14ac:dyDescent="0.35">
      <c r="B23" s="4" t="s">
        <v>33</v>
      </c>
      <c r="C23" s="6">
        <v>11.59</v>
      </c>
      <c r="D23" s="49">
        <v>3.34</v>
      </c>
    </row>
    <row r="24" spans="2:4" x14ac:dyDescent="0.35">
      <c r="B24" s="4" t="s">
        <v>34</v>
      </c>
      <c r="C24" s="6">
        <v>14.37</v>
      </c>
      <c r="D24" s="49">
        <v>3.34</v>
      </c>
    </row>
    <row r="25" spans="2:4" x14ac:dyDescent="0.35">
      <c r="B25" s="4" t="s">
        <v>35</v>
      </c>
      <c r="C25" s="6">
        <v>6.95</v>
      </c>
      <c r="D25" s="49">
        <v>3.34</v>
      </c>
    </row>
    <row r="26" spans="2:4" x14ac:dyDescent="0.35">
      <c r="B26" s="4" t="s">
        <v>36</v>
      </c>
      <c r="C26" s="6">
        <v>47.62</v>
      </c>
      <c r="D26" s="49">
        <v>4.51</v>
      </c>
    </row>
    <row r="27" spans="2:4" x14ac:dyDescent="0.35">
      <c r="B27" s="4" t="s">
        <v>37</v>
      </c>
      <c r="C27" s="6">
        <v>72.05</v>
      </c>
      <c r="D27" s="49">
        <v>4.51</v>
      </c>
    </row>
    <row r="28" spans="2:4" x14ac:dyDescent="0.35">
      <c r="B28" s="4" t="s">
        <v>38</v>
      </c>
      <c r="C28" s="6">
        <v>6.64</v>
      </c>
      <c r="D28" s="49">
        <v>3.34</v>
      </c>
    </row>
    <row r="29" spans="2:4" x14ac:dyDescent="0.35">
      <c r="B29" s="4" t="s">
        <v>39</v>
      </c>
      <c r="C29" s="6">
        <v>21.5</v>
      </c>
      <c r="D29" s="49">
        <v>3.92</v>
      </c>
    </row>
    <row r="30" spans="2:4" x14ac:dyDescent="0.35">
      <c r="B30" s="4" t="s">
        <v>40</v>
      </c>
      <c r="C30" s="6">
        <v>9.74</v>
      </c>
      <c r="D30" s="49">
        <v>3.34</v>
      </c>
    </row>
    <row r="31" spans="2:4" x14ac:dyDescent="0.35">
      <c r="B31" s="4" t="s">
        <v>41</v>
      </c>
      <c r="C31" s="6">
        <v>16.190000000000001</v>
      </c>
      <c r="D31" s="49">
        <v>3.34</v>
      </c>
    </row>
    <row r="32" spans="2:4" x14ac:dyDescent="0.35">
      <c r="B32" s="4" t="s">
        <v>42</v>
      </c>
      <c r="C32" s="6">
        <v>7.95</v>
      </c>
      <c r="D32" s="49">
        <v>3.34</v>
      </c>
    </row>
    <row r="33" spans="2:4" x14ac:dyDescent="0.35">
      <c r="B33" s="4" t="s">
        <v>43</v>
      </c>
      <c r="C33" s="6">
        <v>11.25</v>
      </c>
      <c r="D33" s="49">
        <v>3.34</v>
      </c>
    </row>
    <row r="34" spans="2:4" x14ac:dyDescent="0.35">
      <c r="B34" s="4" t="s">
        <v>44</v>
      </c>
      <c r="C34" s="6">
        <v>34.799999999999997</v>
      </c>
      <c r="D34" s="49">
        <v>4.51</v>
      </c>
    </row>
    <row r="35" spans="2:4" x14ac:dyDescent="0.35">
      <c r="B35" s="4" t="s">
        <v>45</v>
      </c>
      <c r="C35" s="6">
        <v>22.59</v>
      </c>
      <c r="D35" s="49">
        <v>3.92</v>
      </c>
    </row>
    <row r="36" spans="2:4" x14ac:dyDescent="0.35">
      <c r="B36" s="4" t="s">
        <v>46</v>
      </c>
      <c r="C36" s="6">
        <v>103.94</v>
      </c>
      <c r="D36" s="49">
        <v>5.09</v>
      </c>
    </row>
    <row r="37" spans="2:4" x14ac:dyDescent="0.35">
      <c r="B37" s="4" t="s">
        <v>47</v>
      </c>
      <c r="C37" s="6">
        <v>11.07</v>
      </c>
      <c r="D37" s="49">
        <v>3.34</v>
      </c>
    </row>
    <row r="38" spans="2:4" x14ac:dyDescent="0.35">
      <c r="B38" s="4" t="s">
        <v>48</v>
      </c>
      <c r="C38" s="6">
        <v>11.26</v>
      </c>
      <c r="D38" s="49">
        <v>3.34</v>
      </c>
    </row>
    <row r="39" spans="2:4" x14ac:dyDescent="0.35">
      <c r="B39" s="4" t="s">
        <v>49</v>
      </c>
      <c r="C39" s="6">
        <v>12.44</v>
      </c>
      <c r="D39" s="49">
        <v>3.34</v>
      </c>
    </row>
    <row r="40" spans="2:4" x14ac:dyDescent="0.35">
      <c r="B40" s="4" t="s">
        <v>50</v>
      </c>
      <c r="C40" s="6">
        <v>1.4</v>
      </c>
      <c r="D40" s="49">
        <v>3.34</v>
      </c>
    </row>
    <row r="41" spans="2:4" x14ac:dyDescent="0.35">
      <c r="B41" s="4" t="s">
        <v>51</v>
      </c>
      <c r="C41" s="6">
        <v>18.05</v>
      </c>
      <c r="D41" s="49">
        <v>3.34</v>
      </c>
    </row>
    <row r="42" spans="2:4" x14ac:dyDescent="0.35">
      <c r="B42" s="4" t="s">
        <v>52</v>
      </c>
      <c r="C42" s="6">
        <v>50.7</v>
      </c>
      <c r="D42" s="49">
        <v>4.51</v>
      </c>
    </row>
    <row r="43" spans="2:4" x14ac:dyDescent="0.35">
      <c r="B43" s="4" t="s">
        <v>53</v>
      </c>
      <c r="C43" s="6">
        <v>63.47</v>
      </c>
      <c r="D43" s="49">
        <v>4.51</v>
      </c>
    </row>
    <row r="44" spans="2:4" x14ac:dyDescent="0.35">
      <c r="B44" s="4" t="s">
        <v>54</v>
      </c>
      <c r="C44" s="6">
        <v>53.12</v>
      </c>
      <c r="D44" s="49">
        <v>4.51</v>
      </c>
    </row>
    <row r="45" spans="2:4" x14ac:dyDescent="0.35">
      <c r="B45" s="4" t="s">
        <v>55</v>
      </c>
      <c r="C45" s="6">
        <v>68.099999999999994</v>
      </c>
      <c r="D45" s="49">
        <v>4.51</v>
      </c>
    </row>
    <row r="46" spans="2:4" ht="72.5" x14ac:dyDescent="0.35">
      <c r="B46" s="52" t="s">
        <v>154</v>
      </c>
      <c r="C46" s="6">
        <v>37.75</v>
      </c>
      <c r="D46" s="49">
        <v>4.51</v>
      </c>
    </row>
    <row r="47" spans="2:4" x14ac:dyDescent="0.35">
      <c r="B47" s="4" t="s">
        <v>56</v>
      </c>
      <c r="C47" s="6">
        <v>26.59</v>
      </c>
      <c r="D47" s="49">
        <v>3.92</v>
      </c>
    </row>
    <row r="48" spans="2:4" x14ac:dyDescent="0.35">
      <c r="B48" s="4" t="s">
        <v>57</v>
      </c>
      <c r="C48" s="6">
        <v>27.84</v>
      </c>
      <c r="D48" s="49">
        <v>3.92</v>
      </c>
    </row>
    <row r="49" spans="2:4" x14ac:dyDescent="0.35">
      <c r="B49" s="4" t="s">
        <v>58</v>
      </c>
      <c r="C49" s="6">
        <v>27.06</v>
      </c>
      <c r="D49" s="49">
        <v>3.92</v>
      </c>
    </row>
    <row r="50" spans="2:4" x14ac:dyDescent="0.35">
      <c r="B50" s="4" t="s">
        <v>156</v>
      </c>
      <c r="C50" s="6">
        <v>5</v>
      </c>
      <c r="D50" s="49">
        <v>3.34</v>
      </c>
    </row>
    <row r="51" spans="2:4" x14ac:dyDescent="0.35">
      <c r="B51" s="4" t="s">
        <v>59</v>
      </c>
      <c r="C51" s="6">
        <v>55.34</v>
      </c>
      <c r="D51" s="49">
        <v>4.51</v>
      </c>
    </row>
    <row r="52" spans="2:4" x14ac:dyDescent="0.35">
      <c r="B52" s="4" t="s">
        <v>60</v>
      </c>
      <c r="C52" s="6">
        <v>28.52</v>
      </c>
      <c r="D52" s="49">
        <v>3.92</v>
      </c>
    </row>
    <row r="53" spans="2:4" x14ac:dyDescent="0.35">
      <c r="B53" s="4" t="s">
        <v>61</v>
      </c>
      <c r="C53" s="6">
        <v>20.37</v>
      </c>
      <c r="D53" s="49">
        <v>3.34</v>
      </c>
    </row>
    <row r="54" spans="2:4" x14ac:dyDescent="0.35">
      <c r="B54" s="4" t="s">
        <v>62</v>
      </c>
      <c r="C54" s="6">
        <v>762.28</v>
      </c>
      <c r="D54" s="49">
        <v>5.68</v>
      </c>
    </row>
    <row r="55" spans="2:4" x14ac:dyDescent="0.35">
      <c r="B55" s="4" t="s">
        <v>63</v>
      </c>
      <c r="C55" s="6">
        <v>624.20000000000005</v>
      </c>
      <c r="D55" s="49">
        <v>5.68</v>
      </c>
    </row>
    <row r="56" spans="2:4" x14ac:dyDescent="0.35">
      <c r="B56" s="4" t="s">
        <v>64</v>
      </c>
      <c r="C56" s="6">
        <v>90.87</v>
      </c>
      <c r="D56" s="49">
        <v>5.09</v>
      </c>
    </row>
    <row r="57" spans="2:4" x14ac:dyDescent="0.35">
      <c r="B57" s="4" t="s">
        <v>65</v>
      </c>
      <c r="C57" s="6">
        <v>41.8</v>
      </c>
      <c r="D57" s="49">
        <v>4.51</v>
      </c>
    </row>
    <row r="58" spans="2:4" x14ac:dyDescent="0.35">
      <c r="B58" s="4" t="s">
        <v>66</v>
      </c>
      <c r="C58" s="6">
        <v>30.74</v>
      </c>
      <c r="D58" s="49">
        <v>3.92</v>
      </c>
    </row>
    <row r="59" spans="2:4" x14ac:dyDescent="0.35">
      <c r="B59" s="4" t="s">
        <v>67</v>
      </c>
      <c r="C59" s="6">
        <v>143.6</v>
      </c>
      <c r="D59" s="49">
        <v>5.09</v>
      </c>
    </row>
    <row r="60" spans="2:4" x14ac:dyDescent="0.35">
      <c r="B60" s="4" t="s">
        <v>68</v>
      </c>
      <c r="C60" s="6">
        <v>20</v>
      </c>
      <c r="D60" s="49">
        <v>3.34</v>
      </c>
    </row>
    <row r="61" spans="2:4" x14ac:dyDescent="0.35">
      <c r="B61" s="4" t="s">
        <v>69</v>
      </c>
      <c r="C61" s="6">
        <v>90.08</v>
      </c>
      <c r="D61" s="49">
        <v>5.09</v>
      </c>
    </row>
    <row r="62" spans="2:4" x14ac:dyDescent="0.35">
      <c r="B62" s="4" t="s">
        <v>70</v>
      </c>
      <c r="C62" s="6">
        <v>109.16</v>
      </c>
      <c r="D62" s="49">
        <v>5.09</v>
      </c>
    </row>
    <row r="63" spans="2:4" x14ac:dyDescent="0.35">
      <c r="B63" s="4" t="s">
        <v>71</v>
      </c>
      <c r="C63" s="6">
        <v>6.3</v>
      </c>
      <c r="D63" s="49">
        <v>3.34</v>
      </c>
    </row>
    <row r="64" spans="2:4" x14ac:dyDescent="0.35">
      <c r="B64" s="4" t="s">
        <v>72</v>
      </c>
      <c r="C64" s="6">
        <v>100.03</v>
      </c>
      <c r="D64" s="49">
        <v>5.09</v>
      </c>
    </row>
    <row r="65" spans="2:4" x14ac:dyDescent="0.35">
      <c r="B65" s="4" t="s">
        <v>73</v>
      </c>
      <c r="C65" s="6">
        <v>83.84</v>
      </c>
      <c r="D65" s="49">
        <v>5.09</v>
      </c>
    </row>
    <row r="66" spans="2:4" x14ac:dyDescent="0.35">
      <c r="B66" s="4" t="s">
        <v>74</v>
      </c>
      <c r="C66" s="6">
        <v>112.18</v>
      </c>
      <c r="D66" s="49">
        <v>5.09</v>
      </c>
    </row>
    <row r="67" spans="2:4" x14ac:dyDescent="0.35">
      <c r="B67" s="4" t="s">
        <v>75</v>
      </c>
      <c r="C67" s="6">
        <v>470.95</v>
      </c>
      <c r="D67" s="49">
        <v>5.68</v>
      </c>
    </row>
    <row r="68" spans="2:4" x14ac:dyDescent="0.35">
      <c r="B68" s="4" t="s">
        <v>76</v>
      </c>
      <c r="C68" s="6">
        <v>69.569999999999993</v>
      </c>
      <c r="D68" s="49">
        <v>4.51</v>
      </c>
    </row>
    <row r="69" spans="2:4" x14ac:dyDescent="0.35">
      <c r="B69" s="4" t="s">
        <v>77</v>
      </c>
      <c r="C69" s="6">
        <v>2.25</v>
      </c>
      <c r="D69" s="49">
        <v>3.34</v>
      </c>
    </row>
    <row r="70" spans="2:4" x14ac:dyDescent="0.35">
      <c r="B70" s="4" t="s">
        <v>78</v>
      </c>
      <c r="C70" s="6">
        <v>16.28</v>
      </c>
      <c r="D70" s="49">
        <v>3.34</v>
      </c>
    </row>
    <row r="71" spans="2:4" x14ac:dyDescent="0.35">
      <c r="B71" s="4" t="s">
        <v>79</v>
      </c>
      <c r="C71" s="6">
        <v>1202.83</v>
      </c>
      <c r="D71" s="49">
        <v>5.68</v>
      </c>
    </row>
    <row r="72" spans="2:4" x14ac:dyDescent="0.35">
      <c r="B72" s="4" t="s">
        <v>80</v>
      </c>
      <c r="C72" s="6">
        <v>837.58</v>
      </c>
      <c r="D72" s="49">
        <v>5.68</v>
      </c>
    </row>
  </sheetData>
  <sheetProtection algorithmName="SHA-512" hashValue="j23eD3kPsSAGgYmXOWTIRZpeejkuKNJP25m8U5Bp6HKZff4eWfHHrSAFx/fZAYXorvySAKACiWOypUDibNvjOA==" saltValue="KlfSNBFNpuC7r3aUtWCbFQ==" spinCount="100000" sheet="1" selectLockedCells="1"/>
  <phoneticPr fontId="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D1CEF-4EEE-4D2B-966A-B00F35F3AE01}">
  <dimension ref="A1:H72"/>
  <sheetViews>
    <sheetView workbookViewId="0">
      <selection activeCell="C51" sqref="C51"/>
    </sheetView>
  </sheetViews>
  <sheetFormatPr defaultRowHeight="14.5" x14ac:dyDescent="0.35"/>
  <cols>
    <col min="1" max="1" width="48.54296875" customWidth="1"/>
    <col min="2" max="2" width="50.54296875" customWidth="1"/>
    <col min="3" max="3" width="20.54296875" customWidth="1"/>
    <col min="5" max="7" width="20.54296875" customWidth="1"/>
  </cols>
  <sheetData>
    <row r="1" spans="1:8" x14ac:dyDescent="0.35">
      <c r="A1" s="5" t="str">
        <f>'Fee Calculation Form'!A36</f>
        <v>170 Utility</v>
      </c>
      <c r="B1" s="4" t="s">
        <v>81</v>
      </c>
      <c r="C1" s="4" t="s">
        <v>85</v>
      </c>
      <c r="D1" s="4" t="s">
        <v>87</v>
      </c>
      <c r="E1" s="31" t="s">
        <v>81</v>
      </c>
      <c r="F1" s="32" t="s">
        <v>85</v>
      </c>
      <c r="G1" s="32" t="s">
        <v>87</v>
      </c>
      <c r="H1" s="33" t="s">
        <v>123</v>
      </c>
    </row>
    <row r="2" spans="1:8" x14ac:dyDescent="0.35">
      <c r="A2" s="5" t="str">
        <f>'Fee Calculation Form'!A37</f>
        <v>842 RV Sales</v>
      </c>
      <c r="B2" s="4" t="s">
        <v>13</v>
      </c>
      <c r="C2" s="4" t="s">
        <v>84</v>
      </c>
      <c r="D2" s="4" t="s">
        <v>86</v>
      </c>
      <c r="E2" s="29" t="s">
        <v>13</v>
      </c>
      <c r="F2" s="34" t="s">
        <v>122</v>
      </c>
      <c r="G2" s="34" t="s">
        <v>84</v>
      </c>
      <c r="H2" s="35" t="s">
        <v>86</v>
      </c>
    </row>
    <row r="3" spans="1:8" x14ac:dyDescent="0.35">
      <c r="A3" s="5"/>
      <c r="B3" s="4" t="s">
        <v>12</v>
      </c>
      <c r="C3" s="6">
        <v>4.2</v>
      </c>
      <c r="D3" s="49">
        <v>3.34</v>
      </c>
      <c r="E3" s="26" t="s">
        <v>25</v>
      </c>
      <c r="F3" s="27">
        <f>8.36</f>
        <v>8.36</v>
      </c>
      <c r="G3" s="27">
        <f>8.36*(1000/600)</f>
        <v>13.933333333333334</v>
      </c>
      <c r="H3" s="50">
        <v>3.34</v>
      </c>
    </row>
    <row r="4" spans="1:8" x14ac:dyDescent="0.35">
      <c r="A4" s="5"/>
      <c r="B4" s="4" t="s">
        <v>14</v>
      </c>
      <c r="C4" s="6">
        <v>3.37</v>
      </c>
      <c r="D4" s="49">
        <v>3.34</v>
      </c>
      <c r="E4" s="29" t="s">
        <v>26</v>
      </c>
      <c r="F4" s="30">
        <f>4.46</f>
        <v>4.46</v>
      </c>
      <c r="G4" s="30">
        <f>4.46*(1000/600)</f>
        <v>7.4333333333333336</v>
      </c>
      <c r="H4" s="50">
        <v>3.34</v>
      </c>
    </row>
    <row r="5" spans="1:8" x14ac:dyDescent="0.35">
      <c r="A5" s="5"/>
      <c r="B5" s="4" t="s">
        <v>15</v>
      </c>
      <c r="C5" s="6">
        <v>3.93</v>
      </c>
      <c r="D5" s="49">
        <v>3.34</v>
      </c>
      <c r="E5" s="26" t="s">
        <v>27</v>
      </c>
      <c r="F5" s="27">
        <f>4.02</f>
        <v>4.0199999999999996</v>
      </c>
      <c r="G5" s="27">
        <f>4.02*(1000/600)</f>
        <v>6.6999999999999993</v>
      </c>
      <c r="H5" s="50">
        <v>3.34</v>
      </c>
    </row>
    <row r="6" spans="1:8" x14ac:dyDescent="0.35">
      <c r="A6" s="5"/>
      <c r="B6" s="4" t="s">
        <v>16</v>
      </c>
      <c r="C6" s="6">
        <v>1.74</v>
      </c>
      <c r="D6" s="49">
        <v>3.34</v>
      </c>
      <c r="E6" s="29" t="s">
        <v>28</v>
      </c>
      <c r="F6" s="30">
        <f>3.35</f>
        <v>3.35</v>
      </c>
      <c r="G6" s="30">
        <f>3.35*(1000/600)</f>
        <v>5.5833333333333339</v>
      </c>
      <c r="H6" s="50">
        <v>3.34</v>
      </c>
    </row>
    <row r="7" spans="1:8" x14ac:dyDescent="0.35">
      <c r="B7" s="4" t="s">
        <v>17</v>
      </c>
      <c r="C7" s="6">
        <v>1.51</v>
      </c>
      <c r="D7" s="49">
        <v>3.34</v>
      </c>
      <c r="E7" s="26" t="s">
        <v>29</v>
      </c>
      <c r="F7" s="27">
        <f>0.32</f>
        <v>0.32</v>
      </c>
      <c r="G7" s="27">
        <f>0.32*(1000/600)</f>
        <v>0.53333333333333333</v>
      </c>
      <c r="H7" s="50">
        <v>3.34</v>
      </c>
    </row>
    <row r="8" spans="1:8" x14ac:dyDescent="0.35">
      <c r="B8" s="4" t="s">
        <v>18</v>
      </c>
      <c r="C8" s="6">
        <v>1.4</v>
      </c>
      <c r="D8" s="49">
        <v>3.34</v>
      </c>
    </row>
    <row r="9" spans="1:8" x14ac:dyDescent="0.35">
      <c r="B9" s="4" t="s">
        <v>19</v>
      </c>
      <c r="C9" s="6">
        <v>1.81</v>
      </c>
      <c r="D9" s="49">
        <v>3.34</v>
      </c>
    </row>
    <row r="10" spans="1:8" x14ac:dyDescent="0.35">
      <c r="B10" s="4" t="s">
        <v>20</v>
      </c>
      <c r="C10" s="6">
        <v>4.63</v>
      </c>
      <c r="D10" s="49">
        <v>3.34</v>
      </c>
    </row>
    <row r="11" spans="1:8" x14ac:dyDescent="0.35">
      <c r="B11" s="4" t="s">
        <v>21</v>
      </c>
      <c r="C11" s="6">
        <v>2.12</v>
      </c>
      <c r="D11" s="49">
        <v>3.34</v>
      </c>
    </row>
    <row r="12" spans="1:8" x14ac:dyDescent="0.35">
      <c r="B12" s="4" t="s">
        <v>22</v>
      </c>
      <c r="C12" s="6">
        <v>0.99</v>
      </c>
      <c r="D12" s="49">
        <v>3.34</v>
      </c>
    </row>
    <row r="13" spans="1:8" x14ac:dyDescent="0.35">
      <c r="B13" s="4" t="s">
        <v>23</v>
      </c>
      <c r="C13" s="6">
        <v>13.24</v>
      </c>
      <c r="D13" s="49">
        <v>3.34</v>
      </c>
    </row>
    <row r="14" spans="1:8" x14ac:dyDescent="0.35">
      <c r="B14" s="4" t="s">
        <v>24</v>
      </c>
      <c r="C14" s="6">
        <v>10.220000000000001</v>
      </c>
      <c r="D14" s="49">
        <v>3.34</v>
      </c>
    </row>
    <row r="15" spans="1:8" x14ac:dyDescent="0.35">
      <c r="B15" s="26" t="s">
        <v>25</v>
      </c>
      <c r="C15" s="47">
        <f>8.36*(1000/600)</f>
        <v>13.933333333333334</v>
      </c>
      <c r="D15" s="49">
        <v>3.34</v>
      </c>
    </row>
    <row r="16" spans="1:8" x14ac:dyDescent="0.35">
      <c r="B16" s="29" t="s">
        <v>26</v>
      </c>
      <c r="C16" s="48">
        <f>4.46*(1000/600)</f>
        <v>7.4333333333333336</v>
      </c>
      <c r="D16" s="49">
        <v>3.34</v>
      </c>
    </row>
    <row r="17" spans="2:4" x14ac:dyDescent="0.35">
      <c r="B17" s="26" t="s">
        <v>27</v>
      </c>
      <c r="C17" s="47">
        <f>4.02*(1000/600)</f>
        <v>6.6999999999999993</v>
      </c>
      <c r="D17" s="49">
        <v>3.34</v>
      </c>
    </row>
    <row r="18" spans="2:4" x14ac:dyDescent="0.35">
      <c r="B18" s="29" t="s">
        <v>28</v>
      </c>
      <c r="C18" s="48">
        <f>3.35*(1000/600)</f>
        <v>5.5833333333333339</v>
      </c>
      <c r="D18" s="49">
        <v>3.34</v>
      </c>
    </row>
    <row r="19" spans="2:4" x14ac:dyDescent="0.35">
      <c r="B19" s="26" t="s">
        <v>29</v>
      </c>
      <c r="C19" s="47">
        <f>0.32*(1000/600)</f>
        <v>0.53333333333333333</v>
      </c>
      <c r="D19" s="49">
        <v>3.34</v>
      </c>
    </row>
    <row r="20" spans="2:4" x14ac:dyDescent="0.35">
      <c r="B20" s="4" t="s">
        <v>30</v>
      </c>
      <c r="C20" s="6">
        <v>19.52</v>
      </c>
      <c r="D20" s="49">
        <v>3.34</v>
      </c>
    </row>
    <row r="21" spans="2:4" x14ac:dyDescent="0.35">
      <c r="B21" s="4" t="s">
        <v>31</v>
      </c>
      <c r="C21" s="6">
        <v>20.170000000000002</v>
      </c>
      <c r="D21" s="49">
        <v>3.34</v>
      </c>
    </row>
    <row r="22" spans="2:4" x14ac:dyDescent="0.35">
      <c r="B22" s="4" t="s">
        <v>32</v>
      </c>
      <c r="C22" s="6">
        <v>14.07</v>
      </c>
      <c r="D22" s="49">
        <v>3.34</v>
      </c>
    </row>
    <row r="23" spans="2:4" x14ac:dyDescent="0.35">
      <c r="B23" s="4" t="s">
        <v>33</v>
      </c>
      <c r="C23" s="6">
        <v>11.59</v>
      </c>
      <c r="D23" s="49">
        <v>3.34</v>
      </c>
    </row>
    <row r="24" spans="2:4" x14ac:dyDescent="0.35">
      <c r="B24" s="4" t="s">
        <v>34</v>
      </c>
      <c r="C24" s="6">
        <v>14.37</v>
      </c>
      <c r="D24" s="49">
        <v>3.34</v>
      </c>
    </row>
    <row r="25" spans="2:4" x14ac:dyDescent="0.35">
      <c r="B25" s="4" t="s">
        <v>35</v>
      </c>
      <c r="C25" s="6">
        <v>6.95</v>
      </c>
      <c r="D25" s="49">
        <v>3.34</v>
      </c>
    </row>
    <row r="26" spans="2:4" x14ac:dyDescent="0.35">
      <c r="B26" s="4" t="s">
        <v>36</v>
      </c>
      <c r="C26" s="6">
        <v>47.62</v>
      </c>
      <c r="D26" s="49">
        <v>4.51</v>
      </c>
    </row>
    <row r="27" spans="2:4" x14ac:dyDescent="0.35">
      <c r="B27" s="4" t="s">
        <v>37</v>
      </c>
      <c r="C27" s="6">
        <v>72.05</v>
      </c>
      <c r="D27" s="49">
        <v>4.51</v>
      </c>
    </row>
    <row r="28" spans="2:4" x14ac:dyDescent="0.35">
      <c r="B28" s="4" t="s">
        <v>38</v>
      </c>
      <c r="C28" s="6">
        <v>6.64</v>
      </c>
      <c r="D28" s="49">
        <v>3.34</v>
      </c>
    </row>
    <row r="29" spans="2:4" x14ac:dyDescent="0.35">
      <c r="B29" s="4" t="s">
        <v>39</v>
      </c>
      <c r="C29" s="6">
        <v>21.5</v>
      </c>
      <c r="D29" s="49">
        <v>3.92</v>
      </c>
    </row>
    <row r="30" spans="2:4" x14ac:dyDescent="0.35">
      <c r="B30" s="4" t="s">
        <v>40</v>
      </c>
      <c r="C30" s="6">
        <v>9.74</v>
      </c>
      <c r="D30" s="49">
        <v>3.34</v>
      </c>
    </row>
    <row r="31" spans="2:4" x14ac:dyDescent="0.35">
      <c r="B31" s="4" t="s">
        <v>41</v>
      </c>
      <c r="C31" s="6">
        <v>16.190000000000001</v>
      </c>
      <c r="D31" s="49">
        <v>3.34</v>
      </c>
    </row>
    <row r="32" spans="2:4" x14ac:dyDescent="0.35">
      <c r="B32" s="4" t="s">
        <v>42</v>
      </c>
      <c r="C32" s="6">
        <v>7.95</v>
      </c>
      <c r="D32" s="49">
        <v>3.34</v>
      </c>
    </row>
    <row r="33" spans="2:4" x14ac:dyDescent="0.35">
      <c r="B33" s="4" t="s">
        <v>43</v>
      </c>
      <c r="C33" s="6">
        <v>11.25</v>
      </c>
      <c r="D33" s="49">
        <v>3.34</v>
      </c>
    </row>
    <row r="34" spans="2:4" x14ac:dyDescent="0.35">
      <c r="B34" s="4" t="s">
        <v>44</v>
      </c>
      <c r="C34" s="6">
        <v>34.799999999999997</v>
      </c>
      <c r="D34" s="49">
        <v>4.51</v>
      </c>
    </row>
    <row r="35" spans="2:4" x14ac:dyDescent="0.35">
      <c r="B35" s="4" t="s">
        <v>45</v>
      </c>
      <c r="C35" s="6">
        <v>22.59</v>
      </c>
      <c r="D35" s="49">
        <v>3.92</v>
      </c>
    </row>
    <row r="36" spans="2:4" x14ac:dyDescent="0.35">
      <c r="B36" s="4" t="s">
        <v>46</v>
      </c>
      <c r="C36" s="6">
        <v>103.94</v>
      </c>
      <c r="D36" s="49">
        <v>5.09</v>
      </c>
    </row>
    <row r="37" spans="2:4" x14ac:dyDescent="0.35">
      <c r="B37" s="4" t="s">
        <v>47</v>
      </c>
      <c r="C37" s="6">
        <v>11.07</v>
      </c>
      <c r="D37" s="49">
        <v>3.34</v>
      </c>
    </row>
    <row r="38" spans="2:4" x14ac:dyDescent="0.35">
      <c r="B38" s="4" t="s">
        <v>48</v>
      </c>
      <c r="C38" s="6">
        <v>11.26</v>
      </c>
      <c r="D38" s="49">
        <v>3.34</v>
      </c>
    </row>
    <row r="39" spans="2:4" x14ac:dyDescent="0.35">
      <c r="B39" s="4" t="s">
        <v>49</v>
      </c>
      <c r="C39" s="6">
        <v>12.44</v>
      </c>
      <c r="D39" s="49">
        <v>3.34</v>
      </c>
    </row>
    <row r="40" spans="2:4" x14ac:dyDescent="0.35">
      <c r="B40" s="4" t="s">
        <v>50</v>
      </c>
      <c r="C40" s="6">
        <v>1.4</v>
      </c>
      <c r="D40" s="49">
        <v>3.34</v>
      </c>
    </row>
    <row r="41" spans="2:4" x14ac:dyDescent="0.35">
      <c r="B41" s="4" t="s">
        <v>51</v>
      </c>
      <c r="C41" s="6">
        <v>18.05</v>
      </c>
      <c r="D41" s="49">
        <v>3.34</v>
      </c>
    </row>
    <row r="42" spans="2:4" x14ac:dyDescent="0.35">
      <c r="B42" s="4" t="s">
        <v>52</v>
      </c>
      <c r="C42" s="6">
        <v>50.7</v>
      </c>
      <c r="D42" s="49">
        <v>4.51</v>
      </c>
    </row>
    <row r="43" spans="2:4" x14ac:dyDescent="0.35">
      <c r="B43" s="4" t="s">
        <v>53</v>
      </c>
      <c r="C43" s="6">
        <v>63.47</v>
      </c>
      <c r="D43" s="49">
        <v>4.51</v>
      </c>
    </row>
    <row r="44" spans="2:4" x14ac:dyDescent="0.35">
      <c r="B44" s="4" t="s">
        <v>54</v>
      </c>
      <c r="C44" s="6">
        <v>53.12</v>
      </c>
      <c r="D44" s="49">
        <v>4.51</v>
      </c>
    </row>
    <row r="45" spans="2:4" x14ac:dyDescent="0.35">
      <c r="B45" s="4" t="s">
        <v>55</v>
      </c>
      <c r="C45" s="6">
        <v>68.099999999999994</v>
      </c>
      <c r="D45" s="49">
        <v>4.51</v>
      </c>
    </row>
    <row r="46" spans="2:4" ht="72.5" x14ac:dyDescent="0.35">
      <c r="B46" s="52" t="s">
        <v>154</v>
      </c>
      <c r="C46" s="6">
        <v>37.75</v>
      </c>
      <c r="D46" s="49">
        <v>4.51</v>
      </c>
    </row>
    <row r="47" spans="2:4" x14ac:dyDescent="0.35">
      <c r="B47" s="4" t="s">
        <v>56</v>
      </c>
      <c r="C47" s="6">
        <v>26.59</v>
      </c>
      <c r="D47" s="49">
        <v>3.92</v>
      </c>
    </row>
    <row r="48" spans="2:4" x14ac:dyDescent="0.35">
      <c r="B48" s="4" t="s">
        <v>57</v>
      </c>
      <c r="C48" s="6">
        <v>27.84</v>
      </c>
      <c r="D48" s="49">
        <v>3.92</v>
      </c>
    </row>
    <row r="49" spans="2:4" x14ac:dyDescent="0.35">
      <c r="B49" s="4" t="s">
        <v>58</v>
      </c>
      <c r="C49" s="6">
        <v>27.06</v>
      </c>
      <c r="D49" s="49">
        <v>3.92</v>
      </c>
    </row>
    <row r="50" spans="2:4" x14ac:dyDescent="0.35">
      <c r="B50" s="4" t="s">
        <v>156</v>
      </c>
      <c r="C50" s="6">
        <v>5</v>
      </c>
      <c r="D50" s="49">
        <v>3.34</v>
      </c>
    </row>
    <row r="51" spans="2:4" x14ac:dyDescent="0.35">
      <c r="B51" s="4" t="s">
        <v>59</v>
      </c>
      <c r="C51" s="6">
        <v>55.34</v>
      </c>
      <c r="D51" s="49">
        <v>4.51</v>
      </c>
    </row>
    <row r="52" spans="2:4" x14ac:dyDescent="0.35">
      <c r="B52" s="4" t="s">
        <v>60</v>
      </c>
      <c r="C52" s="6">
        <v>28.52</v>
      </c>
      <c r="D52" s="49">
        <v>3.92</v>
      </c>
    </row>
    <row r="53" spans="2:4" x14ac:dyDescent="0.35">
      <c r="B53" s="4" t="s">
        <v>61</v>
      </c>
      <c r="C53" s="6">
        <v>20.37</v>
      </c>
      <c r="D53" s="49">
        <v>3.34</v>
      </c>
    </row>
    <row r="54" spans="2:4" x14ac:dyDescent="0.35">
      <c r="B54" s="4" t="s">
        <v>62</v>
      </c>
      <c r="C54" s="6">
        <v>762.28</v>
      </c>
      <c r="D54" s="49">
        <v>5.68</v>
      </c>
    </row>
    <row r="55" spans="2:4" x14ac:dyDescent="0.35">
      <c r="B55" s="4" t="s">
        <v>63</v>
      </c>
      <c r="C55" s="6">
        <v>624.20000000000005</v>
      </c>
      <c r="D55" s="49">
        <v>5.68</v>
      </c>
    </row>
    <row r="56" spans="2:4" x14ac:dyDescent="0.35">
      <c r="B56" s="4" t="s">
        <v>64</v>
      </c>
      <c r="C56" s="6">
        <v>90.87</v>
      </c>
      <c r="D56" s="49">
        <v>5.09</v>
      </c>
    </row>
    <row r="57" spans="2:4" x14ac:dyDescent="0.35">
      <c r="B57" s="4" t="s">
        <v>65</v>
      </c>
      <c r="C57" s="6">
        <v>41.8</v>
      </c>
      <c r="D57" s="49">
        <v>4.51</v>
      </c>
    </row>
    <row r="58" spans="2:4" x14ac:dyDescent="0.35">
      <c r="B58" s="4" t="s">
        <v>66</v>
      </c>
      <c r="C58" s="6">
        <v>30.74</v>
      </c>
      <c r="D58" s="49">
        <v>3.92</v>
      </c>
    </row>
    <row r="59" spans="2:4" x14ac:dyDescent="0.35">
      <c r="B59" s="4" t="s">
        <v>67</v>
      </c>
      <c r="C59" s="6">
        <v>143.6</v>
      </c>
      <c r="D59" s="49">
        <v>5.09</v>
      </c>
    </row>
    <row r="60" spans="2:4" x14ac:dyDescent="0.35">
      <c r="B60" s="4" t="s">
        <v>68</v>
      </c>
      <c r="C60" s="6">
        <v>20</v>
      </c>
      <c r="D60" s="49">
        <v>3.34</v>
      </c>
    </row>
    <row r="61" spans="2:4" x14ac:dyDescent="0.35">
      <c r="B61" s="4" t="s">
        <v>69</v>
      </c>
      <c r="C61" s="6">
        <v>90.08</v>
      </c>
      <c r="D61" s="49">
        <v>5.09</v>
      </c>
    </row>
    <row r="62" spans="2:4" x14ac:dyDescent="0.35">
      <c r="B62" s="4" t="s">
        <v>70</v>
      </c>
      <c r="C62" s="6">
        <v>109.16</v>
      </c>
      <c r="D62" s="49">
        <v>5.09</v>
      </c>
    </row>
    <row r="63" spans="2:4" x14ac:dyDescent="0.35">
      <c r="B63" s="4" t="s">
        <v>71</v>
      </c>
      <c r="C63" s="6">
        <v>6.3</v>
      </c>
      <c r="D63" s="49">
        <v>3.34</v>
      </c>
    </row>
    <row r="64" spans="2:4" x14ac:dyDescent="0.35">
      <c r="B64" s="4" t="s">
        <v>72</v>
      </c>
      <c r="C64" s="6">
        <v>100.03</v>
      </c>
      <c r="D64" s="49">
        <v>5.09</v>
      </c>
    </row>
    <row r="65" spans="2:4" x14ac:dyDescent="0.35">
      <c r="B65" s="4" t="s">
        <v>73</v>
      </c>
      <c r="C65" s="6">
        <v>83.84</v>
      </c>
      <c r="D65" s="49">
        <v>5.09</v>
      </c>
    </row>
    <row r="66" spans="2:4" x14ac:dyDescent="0.35">
      <c r="B66" s="4" t="s">
        <v>74</v>
      </c>
      <c r="C66" s="6">
        <v>112.18</v>
      </c>
      <c r="D66" s="49">
        <v>5.09</v>
      </c>
    </row>
    <row r="67" spans="2:4" x14ac:dyDescent="0.35">
      <c r="B67" s="4" t="s">
        <v>75</v>
      </c>
      <c r="C67" s="6">
        <v>470.95</v>
      </c>
      <c r="D67" s="49">
        <v>5.68</v>
      </c>
    </row>
    <row r="68" spans="2:4" x14ac:dyDescent="0.35">
      <c r="B68" s="4" t="s">
        <v>76</v>
      </c>
      <c r="C68" s="6">
        <v>69.569999999999993</v>
      </c>
      <c r="D68" s="49">
        <v>4.51</v>
      </c>
    </row>
    <row r="69" spans="2:4" x14ac:dyDescent="0.35">
      <c r="B69" s="4" t="s">
        <v>77</v>
      </c>
      <c r="C69" s="6">
        <v>2.25</v>
      </c>
      <c r="D69" s="49">
        <v>3.34</v>
      </c>
    </row>
    <row r="70" spans="2:4" x14ac:dyDescent="0.35">
      <c r="B70" s="4" t="s">
        <v>78</v>
      </c>
      <c r="C70" s="6">
        <v>16.28</v>
      </c>
      <c r="D70" s="49">
        <v>3.34</v>
      </c>
    </row>
    <row r="71" spans="2:4" x14ac:dyDescent="0.35">
      <c r="B71" s="4" t="s">
        <v>79</v>
      </c>
      <c r="C71" s="6">
        <v>1202.83</v>
      </c>
      <c r="D71" s="49">
        <v>5.68</v>
      </c>
    </row>
    <row r="72" spans="2:4" x14ac:dyDescent="0.35">
      <c r="B72" s="4" t="s">
        <v>80</v>
      </c>
      <c r="C72" s="6">
        <v>837.58</v>
      </c>
      <c r="D72" s="49">
        <v>5.68</v>
      </c>
    </row>
  </sheetData>
  <sheetProtection algorithmName="SHA-512" hashValue="Z2iGVMTwzoVZplkUR8Lfmqn9ZZqdPUPgZeQMjcvwmKERGf2oA0w7qTpUJLDnDSW14ohUW9fWyzLLzDlTo4Ga0Q==" saltValue="gYUWUcOgGto/gv6LiDJ9pg==" spinCount="100000" sheet="1" selectLockedCells="1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729E4-4057-44E4-B83F-2AD30DEA3153}">
  <dimension ref="A1:G48"/>
  <sheetViews>
    <sheetView workbookViewId="0">
      <selection activeCell="H6" sqref="H6"/>
    </sheetView>
  </sheetViews>
  <sheetFormatPr defaultRowHeight="14.5" x14ac:dyDescent="0.35"/>
  <cols>
    <col min="6" max="6" width="18.54296875" customWidth="1"/>
    <col min="7" max="7" width="48.54296875" customWidth="1"/>
  </cols>
  <sheetData>
    <row r="1" spans="1:7" x14ac:dyDescent="0.35">
      <c r="B1" t="s">
        <v>145</v>
      </c>
      <c r="E1" t="s">
        <v>147</v>
      </c>
      <c r="F1" t="s">
        <v>146</v>
      </c>
    </row>
    <row r="2" spans="1:7" x14ac:dyDescent="0.35">
      <c r="E2" t="s">
        <v>148</v>
      </c>
      <c r="F2" t="s">
        <v>102</v>
      </c>
      <c r="G2" t="s">
        <v>103</v>
      </c>
    </row>
    <row r="3" spans="1:7" x14ac:dyDescent="0.35">
      <c r="A3" t="s">
        <v>111</v>
      </c>
      <c r="B3" t="s">
        <v>121</v>
      </c>
      <c r="E3" s="38">
        <f>G3/125</f>
        <v>620.35199999999998</v>
      </c>
      <c r="F3" t="s">
        <v>98</v>
      </c>
      <c r="G3">
        <v>77544</v>
      </c>
    </row>
    <row r="4" spans="1:7" x14ac:dyDescent="0.35">
      <c r="A4" t="s">
        <v>111</v>
      </c>
      <c r="B4" s="148" t="s">
        <v>120</v>
      </c>
      <c r="C4" s="148"/>
      <c r="D4" s="148"/>
      <c r="E4">
        <f>G4/20</f>
        <v>764</v>
      </c>
      <c r="F4" t="s">
        <v>101</v>
      </c>
      <c r="G4">
        <v>15280</v>
      </c>
    </row>
    <row r="5" spans="1:7" x14ac:dyDescent="0.35">
      <c r="A5" t="s">
        <v>110</v>
      </c>
      <c r="B5" s="149" t="s">
        <v>105</v>
      </c>
      <c r="C5" s="149"/>
      <c r="D5" s="149"/>
      <c r="E5" s="38">
        <f>G5/104</f>
        <v>691.69230769230774</v>
      </c>
      <c r="F5" t="s">
        <v>104</v>
      </c>
      <c r="G5">
        <v>71936</v>
      </c>
    </row>
    <row r="6" spans="1:7" x14ac:dyDescent="0.35">
      <c r="A6" t="s">
        <v>110</v>
      </c>
      <c r="B6" s="46" t="s">
        <v>106</v>
      </c>
      <c r="C6" s="46"/>
      <c r="D6" s="46"/>
      <c r="E6" s="38">
        <f>G6/105</f>
        <v>704.68571428571431</v>
      </c>
      <c r="F6" t="s">
        <v>107</v>
      </c>
      <c r="G6">
        <v>73992</v>
      </c>
    </row>
    <row r="7" spans="1:7" x14ac:dyDescent="0.35">
      <c r="A7" t="s">
        <v>110</v>
      </c>
      <c r="B7" s="45" t="s">
        <v>109</v>
      </c>
      <c r="C7" s="45"/>
      <c r="D7" s="45"/>
      <c r="E7" s="38">
        <f>G7/80</f>
        <v>612.5</v>
      </c>
      <c r="F7" t="s">
        <v>108</v>
      </c>
      <c r="G7">
        <v>49000</v>
      </c>
    </row>
    <row r="8" spans="1:7" x14ac:dyDescent="0.35">
      <c r="A8" t="s">
        <v>111</v>
      </c>
      <c r="B8" s="45" t="s">
        <v>114</v>
      </c>
      <c r="C8" s="45"/>
      <c r="D8" s="45"/>
      <c r="E8" s="38">
        <f>G8/101</f>
        <v>619.63366336633658</v>
      </c>
      <c r="F8" t="s">
        <v>112</v>
      </c>
      <c r="G8" s="39">
        <v>62583</v>
      </c>
    </row>
    <row r="9" spans="1:7" x14ac:dyDescent="0.35">
      <c r="A9" t="s">
        <v>111</v>
      </c>
      <c r="B9" s="45" t="s">
        <v>113</v>
      </c>
      <c r="C9" s="45"/>
      <c r="D9" s="45"/>
      <c r="E9" s="38">
        <f>G9/128</f>
        <v>557.703125</v>
      </c>
      <c r="F9" t="s">
        <v>115</v>
      </c>
      <c r="G9" s="39">
        <v>71386</v>
      </c>
    </row>
    <row r="10" spans="1:7" x14ac:dyDescent="0.35">
      <c r="A10" t="s">
        <v>111</v>
      </c>
      <c r="B10" s="45" t="s">
        <v>117</v>
      </c>
      <c r="C10" s="45"/>
      <c r="D10" s="45"/>
      <c r="E10" s="38">
        <f>G10/98</f>
        <v>473.46938775510205</v>
      </c>
      <c r="F10" t="s">
        <v>116</v>
      </c>
      <c r="G10" s="39">
        <v>46400</v>
      </c>
    </row>
    <row r="11" spans="1:7" x14ac:dyDescent="0.35">
      <c r="A11" t="s">
        <v>111</v>
      </c>
      <c r="B11" s="148" t="s">
        <v>119</v>
      </c>
      <c r="C11" s="148"/>
      <c r="D11" s="148"/>
      <c r="E11" s="38">
        <f>G11/133</f>
        <v>715.19548872180451</v>
      </c>
      <c r="F11" t="s">
        <v>118</v>
      </c>
      <c r="G11" s="39">
        <v>95121</v>
      </c>
    </row>
    <row r="12" spans="1:7" x14ac:dyDescent="0.35">
      <c r="E12" t="s">
        <v>124</v>
      </c>
      <c r="F12" s="38">
        <f>(E5+E6+E8+E9+E10+E11)/6</f>
        <v>627.06328113687755</v>
      </c>
    </row>
    <row r="13" spans="1:7" x14ac:dyDescent="0.35">
      <c r="B13" s="148"/>
      <c r="C13" s="148"/>
      <c r="D13" s="148"/>
      <c r="E13" t="s">
        <v>125</v>
      </c>
      <c r="F13" s="38">
        <f>(E3+E4)/2</f>
        <v>692.17599999999993</v>
      </c>
    </row>
    <row r="14" spans="1:7" x14ac:dyDescent="0.35">
      <c r="E14" t="s">
        <v>149</v>
      </c>
      <c r="F14" t="s">
        <v>144</v>
      </c>
    </row>
    <row r="15" spans="1:7" x14ac:dyDescent="0.35">
      <c r="B15" t="s">
        <v>150</v>
      </c>
    </row>
    <row r="16" spans="1:7" x14ac:dyDescent="0.35">
      <c r="C16" t="s">
        <v>126</v>
      </c>
      <c r="D16" t="s">
        <v>151</v>
      </c>
      <c r="F16" t="s">
        <v>127</v>
      </c>
    </row>
    <row r="17" spans="3:6" x14ac:dyDescent="0.35">
      <c r="C17">
        <v>1</v>
      </c>
      <c r="D17">
        <f>83+35</f>
        <v>118</v>
      </c>
      <c r="F17" t="s">
        <v>128</v>
      </c>
    </row>
    <row r="18" spans="3:6" x14ac:dyDescent="0.35">
      <c r="C18">
        <v>2</v>
      </c>
      <c r="D18">
        <f>35+82</f>
        <v>117</v>
      </c>
      <c r="F18" t="s">
        <v>135</v>
      </c>
    </row>
    <row r="19" spans="3:6" x14ac:dyDescent="0.35">
      <c r="C19">
        <v>3</v>
      </c>
      <c r="D19">
        <v>108</v>
      </c>
      <c r="F19" t="s">
        <v>135</v>
      </c>
    </row>
    <row r="20" spans="3:6" x14ac:dyDescent="0.35">
      <c r="C20">
        <v>4</v>
      </c>
      <c r="D20">
        <v>78</v>
      </c>
      <c r="F20" t="s">
        <v>135</v>
      </c>
    </row>
    <row r="21" spans="3:6" x14ac:dyDescent="0.35">
      <c r="C21">
        <v>5</v>
      </c>
      <c r="D21">
        <v>51</v>
      </c>
      <c r="F21" t="s">
        <v>135</v>
      </c>
    </row>
    <row r="22" spans="3:6" x14ac:dyDescent="0.35">
      <c r="C22">
        <v>6</v>
      </c>
      <c r="D22">
        <f>7+15+15+15+15+15</f>
        <v>82</v>
      </c>
      <c r="F22" t="s">
        <v>135</v>
      </c>
    </row>
    <row r="23" spans="3:6" x14ac:dyDescent="0.35">
      <c r="C23">
        <v>7</v>
      </c>
      <c r="D23">
        <f>6+15+15+15+15+8</f>
        <v>74</v>
      </c>
      <c r="F23" t="s">
        <v>135</v>
      </c>
    </row>
    <row r="24" spans="3:6" x14ac:dyDescent="0.35">
      <c r="C24">
        <v>1</v>
      </c>
      <c r="D24">
        <f>15+15+15+15+15+5</f>
        <v>80</v>
      </c>
      <c r="F24" t="s">
        <v>129</v>
      </c>
    </row>
    <row r="25" spans="3:6" x14ac:dyDescent="0.35">
      <c r="C25">
        <v>2</v>
      </c>
      <c r="D25">
        <f>10+15+15+15+15+11</f>
        <v>81</v>
      </c>
      <c r="F25" t="s">
        <v>136</v>
      </c>
    </row>
    <row r="26" spans="3:6" x14ac:dyDescent="0.35">
      <c r="C26">
        <v>8</v>
      </c>
      <c r="D26">
        <v>42</v>
      </c>
      <c r="E26" s="40"/>
      <c r="F26" t="s">
        <v>130</v>
      </c>
    </row>
    <row r="27" spans="3:6" x14ac:dyDescent="0.35">
      <c r="C27" s="42" t="s">
        <v>132</v>
      </c>
      <c r="D27">
        <f>192/7</f>
        <v>27.428571428571427</v>
      </c>
      <c r="E27" s="41"/>
      <c r="F27" t="s">
        <v>131</v>
      </c>
    </row>
    <row r="28" spans="3:6" x14ac:dyDescent="0.35">
      <c r="C28">
        <v>1</v>
      </c>
      <c r="D28">
        <v>58</v>
      </c>
      <c r="E28" s="41"/>
      <c r="F28" t="s">
        <v>133</v>
      </c>
    </row>
    <row r="29" spans="3:6" x14ac:dyDescent="0.35">
      <c r="C29">
        <v>2</v>
      </c>
      <c r="D29">
        <v>86</v>
      </c>
      <c r="E29" s="41"/>
      <c r="F29" t="s">
        <v>137</v>
      </c>
    </row>
    <row r="30" spans="3:6" x14ac:dyDescent="0.35">
      <c r="C30">
        <v>1</v>
      </c>
      <c r="D30">
        <v>0</v>
      </c>
      <c r="E30" s="41"/>
      <c r="F30" t="s">
        <v>134</v>
      </c>
    </row>
    <row r="31" spans="3:6" x14ac:dyDescent="0.35">
      <c r="C31">
        <v>2</v>
      </c>
      <c r="D31">
        <v>0</v>
      </c>
      <c r="E31" s="40"/>
      <c r="F31" t="s">
        <v>138</v>
      </c>
    </row>
    <row r="32" spans="3:6" x14ac:dyDescent="0.35">
      <c r="C32">
        <v>3</v>
      </c>
      <c r="D32">
        <f>12+18+18+11</f>
        <v>59</v>
      </c>
      <c r="E32" s="40"/>
      <c r="F32" t="s">
        <v>138</v>
      </c>
    </row>
    <row r="33" spans="3:6" x14ac:dyDescent="0.35">
      <c r="C33">
        <v>4</v>
      </c>
      <c r="D33">
        <f>116</f>
        <v>116</v>
      </c>
      <c r="E33" s="40"/>
      <c r="F33" t="s">
        <v>138</v>
      </c>
    </row>
    <row r="34" spans="3:6" x14ac:dyDescent="0.35">
      <c r="C34">
        <v>5</v>
      </c>
      <c r="D34">
        <f>30+29+12</f>
        <v>71</v>
      </c>
      <c r="E34" s="40"/>
      <c r="F34" t="s">
        <v>138</v>
      </c>
    </row>
    <row r="35" spans="3:6" x14ac:dyDescent="0.35">
      <c r="C35">
        <v>1</v>
      </c>
      <c r="D35">
        <v>0</v>
      </c>
      <c r="E35" s="40"/>
      <c r="F35" t="s">
        <v>140</v>
      </c>
    </row>
    <row r="36" spans="3:6" x14ac:dyDescent="0.35">
      <c r="C36">
        <v>2</v>
      </c>
      <c r="D36">
        <v>0</v>
      </c>
      <c r="E36" s="40"/>
      <c r="F36" t="s">
        <v>139</v>
      </c>
    </row>
    <row r="37" spans="3:6" x14ac:dyDescent="0.35">
      <c r="C37">
        <v>3</v>
      </c>
      <c r="D37">
        <f>4+14+12</f>
        <v>30</v>
      </c>
      <c r="E37" s="40"/>
      <c r="F37" t="s">
        <v>139</v>
      </c>
    </row>
    <row r="38" spans="3:6" x14ac:dyDescent="0.35">
      <c r="C38">
        <v>4</v>
      </c>
      <c r="D38">
        <f>16+25+5</f>
        <v>46</v>
      </c>
      <c r="F38" t="s">
        <v>139</v>
      </c>
    </row>
    <row r="39" spans="3:6" x14ac:dyDescent="0.35">
      <c r="C39">
        <v>5</v>
      </c>
      <c r="D39">
        <f>16+4+15</f>
        <v>35</v>
      </c>
      <c r="F39" t="s">
        <v>139</v>
      </c>
    </row>
    <row r="40" spans="3:6" x14ac:dyDescent="0.35">
      <c r="C40">
        <v>6</v>
      </c>
      <c r="D40">
        <f>2+3</f>
        <v>5</v>
      </c>
      <c r="F40" t="s">
        <v>139</v>
      </c>
    </row>
    <row r="41" spans="3:6" x14ac:dyDescent="0.35">
      <c r="C41">
        <v>7</v>
      </c>
      <c r="D41">
        <f>18+18</f>
        <v>36</v>
      </c>
      <c r="F41" t="s">
        <v>139</v>
      </c>
    </row>
    <row r="42" spans="3:6" x14ac:dyDescent="0.35">
      <c r="C42">
        <v>8</v>
      </c>
      <c r="D42">
        <f>32+19+26</f>
        <v>77</v>
      </c>
      <c r="F42" t="s">
        <v>139</v>
      </c>
    </row>
    <row r="43" spans="3:6" x14ac:dyDescent="0.35">
      <c r="C43">
        <v>9</v>
      </c>
      <c r="D43">
        <f>16+24+11</f>
        <v>51</v>
      </c>
      <c r="F43" t="s">
        <v>139</v>
      </c>
    </row>
    <row r="44" spans="3:6" x14ac:dyDescent="0.35">
      <c r="C44">
        <v>1</v>
      </c>
      <c r="D44">
        <v>8</v>
      </c>
      <c r="F44" t="s">
        <v>142</v>
      </c>
    </row>
    <row r="45" spans="3:6" x14ac:dyDescent="0.35">
      <c r="C45">
        <v>2</v>
      </c>
      <c r="D45">
        <f>10+20+24+18</f>
        <v>72</v>
      </c>
      <c r="F45" t="s">
        <v>141</v>
      </c>
    </row>
    <row r="46" spans="3:6" x14ac:dyDescent="0.35">
      <c r="C46">
        <v>3</v>
      </c>
      <c r="D46">
        <f>13+30+23+17+20+9</f>
        <v>112</v>
      </c>
      <c r="F46" t="s">
        <v>141</v>
      </c>
    </row>
    <row r="47" spans="3:6" x14ac:dyDescent="0.35">
      <c r="C47">
        <v>4</v>
      </c>
      <c r="D47">
        <v>11</v>
      </c>
      <c r="F47" t="s">
        <v>141</v>
      </c>
    </row>
    <row r="48" spans="3:6" x14ac:dyDescent="0.35">
      <c r="D48" t="s">
        <v>149</v>
      </c>
      <c r="E48">
        <v>40</v>
      </c>
    </row>
  </sheetData>
  <sheetProtection algorithmName="SHA-512" hashValue="eHIW9F6HB5ATSrorHzXysDHU4J6hW7kTfxO6nduump7eZmbOeNKjrIQFQIMCyu29372yakrGuVhkPPrSLJoGWg==" saltValue="oyfGT+hT/JPGUgMaTKwMHw==" spinCount="100000" sheet="1" objects="1" scenarios="1" selectLockedCells="1"/>
  <mergeCells count="4">
    <mergeCell ref="B11:D11"/>
    <mergeCell ref="B13:D13"/>
    <mergeCell ref="B4:D4"/>
    <mergeCell ref="B5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Fee Calculation Form</vt:lpstr>
      <vt:lpstr>ITE Land Use Code information</vt:lpstr>
      <vt:lpstr>ITE Land Use Code info 2</vt:lpstr>
      <vt:lpstr>Hotel and phasing information</vt:lpstr>
    </vt:vector>
  </TitlesOfParts>
  <Company>State of Delaware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sarah.coakley</dc:creator>
  <cp:lastModifiedBy>Brown, Carmella B. (DTI)</cp:lastModifiedBy>
  <cp:lastPrinted>2024-01-24T15:56:34Z</cp:lastPrinted>
  <dcterms:created xsi:type="dcterms:W3CDTF">2020-11-04T20:45:25Z</dcterms:created>
  <dcterms:modified xsi:type="dcterms:W3CDTF">2025-01-29T18:28:43Z</dcterms:modified>
</cp:coreProperties>
</file>